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ayratginiyatullin/Documents/"/>
    </mc:Choice>
  </mc:AlternateContent>
  <xr:revisionPtr revIDLastSave="0" documentId="13_ncr:1_{948EB1DF-1DAC-0445-B117-AF50B1800B41}" xr6:coauthVersionLast="47" xr6:coauthVersionMax="47" xr10:uidLastSave="{00000000-0000-0000-0000-000000000000}"/>
  <bookViews>
    <workbookView xWindow="140" yWindow="520" windowWidth="24600" windowHeight="17480" xr2:uid="{00000000-000D-0000-FFFF-FFFF00000000}"/>
  </bookViews>
  <sheets>
    <sheet name="План ЖИЛЬЕ" sheetId="1" r:id="rId1"/>
    <sheet name="Доп. мусор целевой" sheetId="2" r:id="rId2"/>
    <sheet name="Доп. охрана" sheetId="3" r:id="rId3"/>
    <sheet name="Доп. консъерж" sheetId="4" r:id="rId4"/>
    <sheet name="Доп. председаль" sheetId="5" r:id="rId5"/>
    <sheet name="Доп. ковры" sheetId="6" r:id="rId6"/>
    <sheet name="Тариф" sheetId="7" r:id="rId7"/>
  </sheets>
  <externalReferences>
    <externalReference r:id="rId8"/>
    <externalReference r:id="rId9"/>
  </externalReferences>
  <definedNames>
    <definedName name="_GoBack" localSheetId="6">Тариф!$D$72</definedName>
    <definedName name="_xlnm.Print_Area" localSheetId="0">'План ЖИЛЬЕ'!$A$1:$O$226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7" l="1"/>
  <c r="F72" i="7"/>
  <c r="K222" i="1"/>
  <c r="K221" i="1"/>
  <c r="K219" i="1"/>
  <c r="K218" i="1"/>
  <c r="K213" i="1"/>
  <c r="K214" i="1"/>
  <c r="K215" i="1"/>
  <c r="K216" i="1"/>
  <c r="K211" i="1"/>
  <c r="K209" i="1"/>
  <c r="K207" i="1"/>
  <c r="K206" i="1"/>
  <c r="K208" i="1"/>
  <c r="K200" i="1"/>
  <c r="K199" i="1"/>
  <c r="K195" i="1"/>
  <c r="I195" i="1"/>
  <c r="K194" i="1"/>
  <c r="K192" i="1"/>
  <c r="K190" i="1"/>
  <c r="K187" i="1"/>
  <c r="K185" i="1"/>
  <c r="K184" i="1"/>
  <c r="K182" i="1"/>
  <c r="K179" i="1"/>
  <c r="K164" i="1"/>
  <c r="K162" i="1"/>
  <c r="K160" i="1"/>
  <c r="K159" i="1"/>
  <c r="K158" i="1"/>
  <c r="K157" i="1"/>
  <c r="K156" i="1"/>
  <c r="K155" i="1"/>
  <c r="K151" i="1"/>
  <c r="K152" i="1"/>
  <c r="K153" i="1"/>
  <c r="K154" i="1"/>
  <c r="K150" i="1"/>
  <c r="K149" i="1"/>
  <c r="K146" i="1"/>
  <c r="K145" i="1"/>
  <c r="K143" i="1"/>
  <c r="K144" i="1"/>
  <c r="K142" i="1"/>
  <c r="K141" i="1"/>
  <c r="K140" i="1"/>
  <c r="K139" i="1"/>
  <c r="K137" i="1"/>
  <c r="K136" i="1"/>
  <c r="K135" i="1"/>
  <c r="K133" i="1"/>
  <c r="K24" i="1"/>
  <c r="K23" i="1"/>
  <c r="K5" i="1"/>
  <c r="K6" i="1" s="1"/>
  <c r="F13" i="5" l="1"/>
  <c r="H11" i="4"/>
  <c r="H16" i="4" s="1"/>
  <c r="N169" i="1" l="1"/>
  <c r="N162" i="1"/>
  <c r="M149" i="1"/>
  <c r="N111" i="1" l="1"/>
  <c r="M79" i="1"/>
  <c r="N72" i="1"/>
  <c r="K72" i="1" s="1"/>
  <c r="E28" i="2" l="1"/>
  <c r="M62" i="1" l="1"/>
  <c r="N33" i="1"/>
  <c r="M31" i="1"/>
  <c r="M21" i="1" l="1"/>
  <c r="N18" i="1"/>
  <c r="N19" i="1"/>
  <c r="N20" i="1"/>
  <c r="N21" i="1"/>
  <c r="N22" i="1"/>
  <c r="N23" i="1"/>
  <c r="N24" i="1"/>
  <c r="N27" i="1"/>
  <c r="N28" i="1"/>
  <c r="N29" i="1"/>
  <c r="K29" i="1" s="1"/>
  <c r="N30" i="1"/>
  <c r="K30" i="1" s="1"/>
  <c r="N31" i="1"/>
  <c r="N32" i="1"/>
  <c r="K32" i="1" s="1"/>
  <c r="N46" i="1"/>
  <c r="N47" i="1"/>
  <c r="N49" i="1"/>
  <c r="N50" i="1"/>
  <c r="N62" i="1"/>
  <c r="K62" i="1" s="1"/>
  <c r="N74" i="1"/>
  <c r="N76" i="1"/>
  <c r="N77" i="1"/>
  <c r="N79" i="1"/>
  <c r="K79" i="1" s="1"/>
  <c r="N80" i="1"/>
  <c r="K80" i="1" s="1"/>
  <c r="N82" i="1"/>
  <c r="N83" i="1"/>
  <c r="N84" i="1"/>
  <c r="N85" i="1"/>
  <c r="N86" i="1"/>
  <c r="N88" i="1"/>
  <c r="N89" i="1"/>
  <c r="N90" i="1"/>
  <c r="N91" i="1"/>
  <c r="N98" i="1"/>
  <c r="N99" i="1"/>
  <c r="N102" i="1"/>
  <c r="K102" i="1" s="1"/>
  <c r="N103" i="1"/>
  <c r="N104" i="1"/>
  <c r="N105" i="1"/>
  <c r="N106" i="1"/>
  <c r="N107" i="1"/>
  <c r="N113" i="1"/>
  <c r="N114" i="1"/>
  <c r="N115" i="1"/>
  <c r="N116" i="1"/>
  <c r="N117" i="1"/>
  <c r="N118" i="1"/>
  <c r="N119" i="1"/>
  <c r="N124" i="1"/>
  <c r="N125" i="1"/>
  <c r="K125" i="1" s="1"/>
  <c r="N126" i="1"/>
  <c r="N128" i="1"/>
  <c r="N129" i="1"/>
  <c r="N130" i="1"/>
  <c r="N131" i="1"/>
  <c r="N132" i="1"/>
  <c r="N133" i="1"/>
  <c r="N134" i="1"/>
  <c r="N147" i="1"/>
  <c r="N148" i="1"/>
  <c r="N149" i="1"/>
  <c r="N155" i="1"/>
  <c r="N156" i="1"/>
  <c r="N157" i="1"/>
  <c r="N163" i="1"/>
  <c r="N164" i="1"/>
  <c r="N165" i="1"/>
  <c r="N172" i="1"/>
  <c r="N173" i="1"/>
  <c r="N178" i="1"/>
  <c r="N182" i="1"/>
  <c r="N183" i="1"/>
  <c r="N184" i="1"/>
  <c r="N186" i="1"/>
  <c r="N187" i="1"/>
  <c r="N188" i="1"/>
  <c r="N191" i="1"/>
  <c r="N192" i="1"/>
  <c r="N193" i="1"/>
  <c r="N195" i="1"/>
  <c r="N196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8" i="1"/>
  <c r="K8" i="1" s="1"/>
  <c r="M9" i="1"/>
  <c r="N9" i="1" s="1"/>
  <c r="K9" i="1" s="1"/>
  <c r="E68" i="7" l="1"/>
  <c r="E58" i="7"/>
  <c r="D58" i="7"/>
  <c r="E44" i="7"/>
  <c r="D39" i="7"/>
  <c r="E28" i="7"/>
  <c r="E25" i="7"/>
  <c r="E23" i="7"/>
  <c r="E22" i="7" s="1"/>
  <c r="D22" i="7"/>
  <c r="E20" i="7"/>
  <c r="E18" i="7"/>
  <c r="E17" i="7"/>
  <c r="E15" i="7" s="1"/>
  <c r="E12" i="7"/>
  <c r="E9" i="7"/>
  <c r="E7" i="7"/>
  <c r="E12" i="6"/>
  <c r="E13" i="6" s="1"/>
  <c r="E15" i="6" s="1"/>
  <c r="E8" i="6"/>
  <c r="E12" i="5"/>
  <c r="E13" i="5" s="1"/>
  <c r="E8" i="5"/>
  <c r="F14" i="5" s="1"/>
  <c r="F9" i="4"/>
  <c r="F15" i="4" s="1"/>
  <c r="F16" i="4" s="1"/>
  <c r="F8" i="4"/>
  <c r="H18" i="4" s="1"/>
  <c r="D15" i="3"/>
  <c r="D16" i="3" s="1"/>
  <c r="D9" i="3"/>
  <c r="D8" i="3"/>
  <c r="K31" i="2"/>
  <c r="E31" i="2"/>
  <c r="K30" i="2"/>
  <c r="E30" i="2"/>
  <c r="K29" i="2"/>
  <c r="E29" i="2"/>
  <c r="K28" i="2"/>
  <c r="E33" i="2"/>
  <c r="K27" i="2"/>
  <c r="E27" i="2"/>
  <c r="K21" i="2"/>
  <c r="E21" i="2"/>
  <c r="E20" i="2"/>
  <c r="E19" i="2"/>
  <c r="E18" i="2"/>
  <c r="K16" i="2"/>
  <c r="K15" i="2"/>
  <c r="K14" i="2"/>
  <c r="K12" i="2"/>
  <c r="K11" i="2"/>
  <c r="K19" i="2" s="1"/>
  <c r="K10" i="2"/>
  <c r="E9" i="2"/>
  <c r="E41" i="2" s="1"/>
  <c r="I219" i="1"/>
  <c r="J219" i="1" s="1"/>
  <c r="J221" i="1" s="1"/>
  <c r="I217" i="1"/>
  <c r="J217" i="1" s="1"/>
  <c r="I216" i="1"/>
  <c r="D66" i="7" s="1"/>
  <c r="I215" i="1"/>
  <c r="J215" i="1" s="1"/>
  <c r="I214" i="1"/>
  <c r="D64" i="7" s="1"/>
  <c r="I213" i="1"/>
  <c r="D63" i="7" s="1"/>
  <c r="I212" i="1"/>
  <c r="J212" i="1" s="1"/>
  <c r="I211" i="1"/>
  <c r="D62" i="7" s="1"/>
  <c r="I208" i="1"/>
  <c r="J208" i="1" s="1"/>
  <c r="H207" i="1"/>
  <c r="I207" i="1" s="1"/>
  <c r="J207" i="1" s="1"/>
  <c r="I206" i="1"/>
  <c r="I203" i="1"/>
  <c r="J203" i="1" s="1"/>
  <c r="J204" i="1" s="1"/>
  <c r="I201" i="1"/>
  <c r="J201" i="1" s="1"/>
  <c r="J202" i="1" s="1"/>
  <c r="I199" i="1"/>
  <c r="J199" i="1" s="1"/>
  <c r="I198" i="1"/>
  <c r="J198" i="1" s="1"/>
  <c r="I197" i="1"/>
  <c r="I200" i="1" s="1"/>
  <c r="H194" i="1"/>
  <c r="G194" i="1"/>
  <c r="H191" i="1"/>
  <c r="I191" i="1" s="1"/>
  <c r="J191" i="1" s="1"/>
  <c r="H190" i="1"/>
  <c r="I190" i="1" s="1"/>
  <c r="H189" i="1"/>
  <c r="I189" i="1" s="1"/>
  <c r="J189" i="1" s="1"/>
  <c r="I186" i="1"/>
  <c r="J186" i="1" s="1"/>
  <c r="H185" i="1"/>
  <c r="I185" i="1" s="1"/>
  <c r="J184" i="1"/>
  <c r="H184" i="1"/>
  <c r="I181" i="1"/>
  <c r="J181" i="1" s="1"/>
  <c r="I180" i="1"/>
  <c r="J180" i="1" s="1"/>
  <c r="H179" i="1"/>
  <c r="I179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I163" i="1"/>
  <c r="J163" i="1" s="1"/>
  <c r="I162" i="1"/>
  <c r="J162" i="1" s="1"/>
  <c r="I161" i="1"/>
  <c r="J161" i="1" s="1"/>
  <c r="I160" i="1"/>
  <c r="J160" i="1" s="1"/>
  <c r="J159" i="1"/>
  <c r="H159" i="1"/>
  <c r="H158" i="1"/>
  <c r="I158" i="1" s="1"/>
  <c r="J158" i="1" s="1"/>
  <c r="G157" i="1"/>
  <c r="I157" i="1" s="1"/>
  <c r="J157" i="1" s="1"/>
  <c r="H156" i="1"/>
  <c r="G156" i="1"/>
  <c r="H155" i="1"/>
  <c r="I155" i="1" s="1"/>
  <c r="J155" i="1" s="1"/>
  <c r="I154" i="1"/>
  <c r="I153" i="1"/>
  <c r="J153" i="1" s="1"/>
  <c r="I152" i="1"/>
  <c r="J152" i="1" s="1"/>
  <c r="I151" i="1"/>
  <c r="J151" i="1" s="1"/>
  <c r="I150" i="1"/>
  <c r="J150" i="1" s="1"/>
  <c r="I149" i="1"/>
  <c r="D32" i="7" s="1"/>
  <c r="I148" i="1"/>
  <c r="J148" i="1" s="1"/>
  <c r="I147" i="1"/>
  <c r="J147" i="1" s="1"/>
  <c r="H146" i="1"/>
  <c r="I146" i="1" s="1"/>
  <c r="J146" i="1" s="1"/>
  <c r="H145" i="1"/>
  <c r="I145" i="1" s="1"/>
  <c r="I144" i="1"/>
  <c r="D31" i="7" s="1"/>
  <c r="I143" i="1"/>
  <c r="J143" i="1" s="1"/>
  <c r="I142" i="1"/>
  <c r="J142" i="1" s="1"/>
  <c r="I141" i="1"/>
  <c r="J141" i="1" s="1"/>
  <c r="I140" i="1"/>
  <c r="J140" i="1" s="1"/>
  <c r="I139" i="1"/>
  <c r="J139" i="1" s="1"/>
  <c r="G138" i="1"/>
  <c r="I138" i="1" s="1"/>
  <c r="J138" i="1" s="1"/>
  <c r="I137" i="1"/>
  <c r="J137" i="1" s="1"/>
  <c r="I136" i="1"/>
  <c r="J136" i="1" s="1"/>
  <c r="I135" i="1"/>
  <c r="J135" i="1" s="1"/>
  <c r="I132" i="1"/>
  <c r="J132" i="1" s="1"/>
  <c r="I131" i="1"/>
  <c r="J131" i="1" s="1"/>
  <c r="I130" i="1"/>
  <c r="J130" i="1" s="1"/>
  <c r="I129" i="1"/>
  <c r="J129" i="1" s="1"/>
  <c r="I128" i="1"/>
  <c r="J128" i="1" s="1"/>
  <c r="I126" i="1"/>
  <c r="J126" i="1" s="1"/>
  <c r="I125" i="1"/>
  <c r="J125" i="1" s="1"/>
  <c r="I124" i="1"/>
  <c r="J124" i="1" s="1"/>
  <c r="I123" i="1"/>
  <c r="I122" i="1"/>
  <c r="I121" i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I111" i="1"/>
  <c r="J111" i="1" s="1"/>
  <c r="I110" i="1"/>
  <c r="I109" i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K101" i="1" s="1"/>
  <c r="I99" i="1"/>
  <c r="J99" i="1" s="1"/>
  <c r="I98" i="1"/>
  <c r="J98" i="1" s="1"/>
  <c r="I97" i="1"/>
  <c r="I96" i="1"/>
  <c r="J96" i="1" s="1"/>
  <c r="I94" i="1"/>
  <c r="I93" i="1"/>
  <c r="I91" i="1"/>
  <c r="J91" i="1" s="1"/>
  <c r="I90" i="1"/>
  <c r="J90" i="1" s="1"/>
  <c r="I89" i="1"/>
  <c r="J89" i="1" s="1"/>
  <c r="I88" i="1"/>
  <c r="J88" i="1" s="1"/>
  <c r="I86" i="1"/>
  <c r="J86" i="1" s="1"/>
  <c r="H85" i="1"/>
  <c r="I85" i="1" s="1"/>
  <c r="J85" i="1" s="1"/>
  <c r="I84" i="1"/>
  <c r="J84" i="1" s="1"/>
  <c r="I83" i="1"/>
  <c r="J83" i="1" s="1"/>
  <c r="I82" i="1"/>
  <c r="J82" i="1" s="1"/>
  <c r="H81" i="1"/>
  <c r="I81" i="1" s="1"/>
  <c r="H80" i="1"/>
  <c r="I80" i="1" s="1"/>
  <c r="J80" i="1" s="1"/>
  <c r="I79" i="1"/>
  <c r="J79" i="1" s="1"/>
  <c r="I77" i="1"/>
  <c r="J77" i="1" s="1"/>
  <c r="I76" i="1"/>
  <c r="J76" i="1" s="1"/>
  <c r="H75" i="1"/>
  <c r="I75" i="1" s="1"/>
  <c r="I74" i="1"/>
  <c r="J74" i="1" s="1"/>
  <c r="H73" i="1"/>
  <c r="I73" i="1" s="1"/>
  <c r="H72" i="1"/>
  <c r="I72" i="1" s="1"/>
  <c r="I68" i="1"/>
  <c r="I66" i="1"/>
  <c r="J66" i="1" s="1"/>
  <c r="G65" i="1"/>
  <c r="I65" i="1" s="1"/>
  <c r="I64" i="1"/>
  <c r="J64" i="1" s="1"/>
  <c r="I62" i="1"/>
  <c r="J62" i="1" s="1"/>
  <c r="H61" i="1"/>
  <c r="I61" i="1" s="1"/>
  <c r="H60" i="1"/>
  <c r="I60" i="1" s="1"/>
  <c r="H59" i="1"/>
  <c r="I59" i="1" s="1"/>
  <c r="H58" i="1"/>
  <c r="I58" i="1" s="1"/>
  <c r="K58" i="1" s="1"/>
  <c r="H57" i="1"/>
  <c r="I57" i="1" s="1"/>
  <c r="K57" i="1" s="1"/>
  <c r="I55" i="1"/>
  <c r="H54" i="1"/>
  <c r="G54" i="1"/>
  <c r="H53" i="1"/>
  <c r="I53" i="1" s="1"/>
  <c r="J53" i="1" s="1"/>
  <c r="H52" i="1"/>
  <c r="I52" i="1" s="1"/>
  <c r="K52" i="1" s="1"/>
  <c r="H51" i="1"/>
  <c r="I51" i="1" s="1"/>
  <c r="I50" i="1"/>
  <c r="H48" i="1"/>
  <c r="I48" i="1" s="1"/>
  <c r="J48" i="1" s="1"/>
  <c r="H47" i="1"/>
  <c r="I47" i="1" s="1"/>
  <c r="H46" i="1"/>
  <c r="G46" i="1"/>
  <c r="I46" i="1" s="1"/>
  <c r="K46" i="1" s="1"/>
  <c r="H44" i="1"/>
  <c r="I44" i="1" s="1"/>
  <c r="H43" i="1"/>
  <c r="I43" i="1" s="1"/>
  <c r="K43" i="1" s="1"/>
  <c r="K42" i="1" s="1"/>
  <c r="H41" i="1"/>
  <c r="G41" i="1"/>
  <c r="H40" i="1"/>
  <c r="G40" i="1"/>
  <c r="I40" i="1" s="1"/>
  <c r="H39" i="1"/>
  <c r="C39" i="1"/>
  <c r="H38" i="1"/>
  <c r="I38" i="1" s="1"/>
  <c r="H37" i="1"/>
  <c r="I37" i="1" s="1"/>
  <c r="H36" i="1"/>
  <c r="G36" i="1"/>
  <c r="H35" i="1"/>
  <c r="I35" i="1" s="1"/>
  <c r="H34" i="1"/>
  <c r="I34" i="1" s="1"/>
  <c r="H33" i="1"/>
  <c r="I33" i="1" s="1"/>
  <c r="J33" i="1" s="1"/>
  <c r="H32" i="1"/>
  <c r="G32" i="1"/>
  <c r="H31" i="1"/>
  <c r="I31" i="1" s="1"/>
  <c r="H30" i="1"/>
  <c r="G30" i="1"/>
  <c r="H29" i="1"/>
  <c r="I29" i="1" s="1"/>
  <c r="J29" i="1" s="1"/>
  <c r="H28" i="1"/>
  <c r="G28" i="1"/>
  <c r="I28" i="1" s="1"/>
  <c r="H27" i="1"/>
  <c r="G27" i="1"/>
  <c r="H26" i="1"/>
  <c r="I26" i="1" s="1"/>
  <c r="H25" i="1"/>
  <c r="I25" i="1" s="1"/>
  <c r="J25" i="1" s="1"/>
  <c r="H24" i="1"/>
  <c r="I24" i="1" s="1"/>
  <c r="J24" i="1" s="1"/>
  <c r="H23" i="1"/>
  <c r="I23" i="1" s="1"/>
  <c r="J23" i="1" s="1"/>
  <c r="H21" i="1"/>
  <c r="G21" i="1"/>
  <c r="G20" i="1"/>
  <c r="I20" i="1" s="1"/>
  <c r="H19" i="1"/>
  <c r="I19" i="1" s="1"/>
  <c r="H18" i="1"/>
  <c r="I18" i="1" s="1"/>
  <c r="I17" i="1"/>
  <c r="H16" i="1"/>
  <c r="I16" i="1" s="1"/>
  <c r="H15" i="1"/>
  <c r="C15" i="1"/>
  <c r="H14" i="1"/>
  <c r="I14" i="1" s="1"/>
  <c r="K14" i="1" s="1"/>
  <c r="H12" i="1"/>
  <c r="G12" i="1"/>
  <c r="H11" i="1"/>
  <c r="I11" i="1" s="1"/>
  <c r="J11" i="1" s="1"/>
  <c r="H10" i="1"/>
  <c r="I10" i="1" s="1"/>
  <c r="J10" i="1" s="1"/>
  <c r="H9" i="1"/>
  <c r="I9" i="1" s="1"/>
  <c r="H8" i="1"/>
  <c r="I8" i="1" s="1"/>
  <c r="D48" i="7" s="1"/>
  <c r="I6" i="1"/>
  <c r="J5" i="1"/>
  <c r="J6" i="1" s="1"/>
  <c r="A1" i="1"/>
  <c r="J38" i="1" l="1"/>
  <c r="K38" i="1"/>
  <c r="J61" i="1"/>
  <c r="K61" i="1"/>
  <c r="J93" i="1"/>
  <c r="K93" i="1"/>
  <c r="J121" i="1"/>
  <c r="K121" i="1"/>
  <c r="J94" i="1"/>
  <c r="K94" i="1"/>
  <c r="J34" i="1"/>
  <c r="K34" i="1"/>
  <c r="J65" i="1"/>
  <c r="J67" i="1" s="1"/>
  <c r="K65" i="1"/>
  <c r="K67" i="1" s="1"/>
  <c r="J97" i="1"/>
  <c r="K97" i="1"/>
  <c r="J60" i="1"/>
  <c r="K60" i="1"/>
  <c r="J40" i="1"/>
  <c r="K40" i="1"/>
  <c r="J35" i="1"/>
  <c r="K35" i="1"/>
  <c r="I69" i="1"/>
  <c r="K68" i="1"/>
  <c r="K69" i="1" s="1"/>
  <c r="J109" i="1"/>
  <c r="K109" i="1"/>
  <c r="J31" i="1"/>
  <c r="K31" i="1"/>
  <c r="J37" i="1"/>
  <c r="K37" i="1"/>
  <c r="J73" i="1"/>
  <c r="K73" i="1"/>
  <c r="J112" i="1"/>
  <c r="K112" i="1"/>
  <c r="J75" i="1"/>
  <c r="K75" i="1"/>
  <c r="J122" i="1"/>
  <c r="K122" i="1"/>
  <c r="J123" i="1"/>
  <c r="K123" i="1"/>
  <c r="J47" i="1"/>
  <c r="K47" i="1"/>
  <c r="K45" i="1" s="1"/>
  <c r="J51" i="1"/>
  <c r="K51" i="1"/>
  <c r="D26" i="7"/>
  <c r="K59" i="1"/>
  <c r="K56" i="1" s="1"/>
  <c r="J81" i="1"/>
  <c r="K81" i="1"/>
  <c r="J110" i="1"/>
  <c r="K110" i="1"/>
  <c r="J19" i="1"/>
  <c r="K19" i="1"/>
  <c r="J28" i="1"/>
  <c r="K28" i="1"/>
  <c r="J16" i="1"/>
  <c r="K16" i="1"/>
  <c r="J17" i="1"/>
  <c r="K17" i="1"/>
  <c r="J20" i="1"/>
  <c r="K20" i="1"/>
  <c r="J18" i="1"/>
  <c r="K18" i="1"/>
  <c r="J26" i="1"/>
  <c r="K26" i="1"/>
  <c r="I36" i="1"/>
  <c r="I194" i="1"/>
  <c r="D61" i="7" s="1"/>
  <c r="I39" i="1"/>
  <c r="K33" i="2"/>
  <c r="I15" i="1"/>
  <c r="J197" i="1"/>
  <c r="J200" i="1" s="1"/>
  <c r="I209" i="1"/>
  <c r="J149" i="1"/>
  <c r="I177" i="1"/>
  <c r="I12" i="1"/>
  <c r="I7" i="1" s="1"/>
  <c r="J166" i="1"/>
  <c r="J177" i="1" s="1"/>
  <c r="E15" i="5"/>
  <c r="I156" i="1"/>
  <c r="J156" i="1" s="1"/>
  <c r="D50" i="7"/>
  <c r="E50" i="7" s="1"/>
  <c r="I27" i="1"/>
  <c r="I41" i="1"/>
  <c r="D27" i="7"/>
  <c r="J52" i="1"/>
  <c r="D38" i="7"/>
  <c r="J185" i="1"/>
  <c r="J187" i="1" s="1"/>
  <c r="D10" i="7"/>
  <c r="D9" i="7" s="1"/>
  <c r="J58" i="1"/>
  <c r="J59" i="1"/>
  <c r="J144" i="1"/>
  <c r="I218" i="1"/>
  <c r="K20" i="2"/>
  <c r="E24" i="7"/>
  <c r="E6" i="7"/>
  <c r="D16" i="7"/>
  <c r="D15" i="7" s="1"/>
  <c r="K9" i="2"/>
  <c r="K41" i="2" s="1"/>
  <c r="K18" i="2"/>
  <c r="K22" i="2" s="1"/>
  <c r="K25" i="2" s="1"/>
  <c r="K26" i="2" s="1"/>
  <c r="I30" i="1"/>
  <c r="J30" i="1" s="1"/>
  <c r="J68" i="1"/>
  <c r="J69" i="1" s="1"/>
  <c r="D11" i="7"/>
  <c r="J101" i="1"/>
  <c r="J216" i="1"/>
  <c r="I221" i="1"/>
  <c r="E22" i="2"/>
  <c r="E25" i="2" s="1"/>
  <c r="E26" i="2" s="1"/>
  <c r="D8" i="7"/>
  <c r="D7" i="7" s="1"/>
  <c r="I133" i="1"/>
  <c r="J72" i="1"/>
  <c r="J8" i="1"/>
  <c r="J14" i="1"/>
  <c r="D55" i="7"/>
  <c r="E55" i="7" s="1"/>
  <c r="J43" i="1"/>
  <c r="I42" i="1"/>
  <c r="D13" i="7"/>
  <c r="J57" i="1"/>
  <c r="I56" i="1"/>
  <c r="E35" i="2"/>
  <c r="E37" i="2"/>
  <c r="E39" i="2" s="1"/>
  <c r="F18" i="4"/>
  <c r="F17" i="4"/>
  <c r="I21" i="1"/>
  <c r="I32" i="1"/>
  <c r="J32" i="1" s="1"/>
  <c r="I67" i="1"/>
  <c r="D19" i="7"/>
  <c r="D18" i="7" s="1"/>
  <c r="D29" i="7"/>
  <c r="D30" i="7"/>
  <c r="J154" i="1"/>
  <c r="I192" i="1"/>
  <c r="K35" i="2"/>
  <c r="K37" i="2" s="1"/>
  <c r="K39" i="2" s="1"/>
  <c r="E48" i="7"/>
  <c r="I45" i="1"/>
  <c r="D49" i="7"/>
  <c r="E49" i="7" s="1"/>
  <c r="J9" i="1"/>
  <c r="D14" i="7"/>
  <c r="J44" i="1"/>
  <c r="J46" i="1"/>
  <c r="J45" i="1" s="1"/>
  <c r="D45" i="7"/>
  <c r="D44" i="7" s="1"/>
  <c r="I182" i="1"/>
  <c r="J179" i="1"/>
  <c r="J182" i="1" s="1"/>
  <c r="I187" i="1"/>
  <c r="D17" i="3"/>
  <c r="D20" i="3" s="1"/>
  <c r="D19" i="3"/>
  <c r="D18" i="3"/>
  <c r="D21" i="3" s="1"/>
  <c r="J50" i="1"/>
  <c r="I54" i="1"/>
  <c r="D40" i="7"/>
  <c r="J145" i="1"/>
  <c r="J190" i="1"/>
  <c r="J192" i="1" s="1"/>
  <c r="D36" i="7"/>
  <c r="D56" i="7"/>
  <c r="E56" i="7" s="1"/>
  <c r="J206" i="1"/>
  <c r="J209" i="1" s="1"/>
  <c r="J214" i="1"/>
  <c r="E60" i="7"/>
  <c r="H68" i="7"/>
  <c r="D65" i="7"/>
  <c r="J211" i="1"/>
  <c r="J213" i="1"/>
  <c r="J54" i="1" l="1"/>
  <c r="K54" i="1"/>
  <c r="J36" i="1"/>
  <c r="K36" i="1"/>
  <c r="K49" i="1"/>
  <c r="J39" i="1"/>
  <c r="K39" i="1"/>
  <c r="D25" i="7"/>
  <c r="J194" i="1"/>
  <c r="J195" i="1" s="1"/>
  <c r="J41" i="1"/>
  <c r="K41" i="1"/>
  <c r="D60" i="7"/>
  <c r="J21" i="1"/>
  <c r="K21" i="1"/>
  <c r="J27" i="1"/>
  <c r="J22" i="1" s="1"/>
  <c r="K27" i="1"/>
  <c r="J15" i="1"/>
  <c r="K15" i="1"/>
  <c r="J12" i="1"/>
  <c r="J7" i="1" s="1"/>
  <c r="K12" i="1"/>
  <c r="K7" i="1" s="1"/>
  <c r="I164" i="1"/>
  <c r="J164" i="1"/>
  <c r="J49" i="1"/>
  <c r="I49" i="1"/>
  <c r="J42" i="1"/>
  <c r="J133" i="1"/>
  <c r="J218" i="1"/>
  <c r="D21" i="7"/>
  <c r="D20" i="7" s="1"/>
  <c r="D57" i="7"/>
  <c r="E57" i="7" s="1"/>
  <c r="D51" i="7"/>
  <c r="E51" i="7" s="1"/>
  <c r="I22" i="1"/>
  <c r="D28" i="7"/>
  <c r="D24" i="7" s="1"/>
  <c r="I13" i="1"/>
  <c r="D12" i="7"/>
  <c r="D6" i="7" l="1"/>
  <c r="K13" i="1"/>
  <c r="J13" i="1"/>
  <c r="K22" i="1"/>
  <c r="K63" i="1" s="1"/>
  <c r="I63" i="1"/>
  <c r="I222" i="1" s="1"/>
  <c r="I227" i="1" s="1"/>
  <c r="E47" i="7"/>
  <c r="E46" i="7" s="1"/>
  <c r="E72" i="7" s="1"/>
  <c r="J63" i="1"/>
  <c r="J222" i="1" s="1"/>
  <c r="J227" i="1" s="1"/>
  <c r="D47" i="7"/>
  <c r="D46" i="7" s="1"/>
  <c r="D72" i="7" s="1"/>
  <c r="H70" i="7" l="1"/>
  <c r="E78" i="7"/>
  <c r="E75" i="7"/>
  <c r="E77" i="7" s="1"/>
  <c r="H72" i="7"/>
  <c r="B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04"/>
          </rPr>
          <t>Admin: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почему на 1000м2</t>
        </r>
      </text>
    </comment>
    <comment ref="M2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Мной по СН-2012 учтена помывка окон с наружной и внутр.стороны. Судя по расчету "Управляющей компании", то 
она моет только изнутри.</t>
        </r>
      </text>
    </comment>
    <comment ref="L23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204"/>
          </rPr>
          <t>Admin: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Если прим. Брать норматив по отрасли "Образование", то дороже на 115373 руб. без НДС
</t>
        </r>
        <r>
          <rPr>
            <sz val="9"/>
            <color rgb="FF000000"/>
            <rFont val="Tahoma"/>
            <family val="2"/>
            <charset val="204"/>
          </rPr>
          <t>за 12 мес.</t>
        </r>
      </text>
    </comment>
  </commentList>
</comments>
</file>

<file path=xl/sharedStrings.xml><?xml version="1.0" encoding="utf-8"?>
<sst xmlns="http://schemas.openxmlformats.org/spreadsheetml/2006/main" count="1520" uniqueCount="685">
  <si>
    <t>Летний сад</t>
  </si>
  <si>
    <t>№№ п/п</t>
  </si>
  <si>
    <t>Наименование  работ (услуг)</t>
  </si>
  <si>
    <t>Панируемая периодичность работ (услуг)</t>
  </si>
  <si>
    <t>Основание</t>
  </si>
  <si>
    <t>Ед.изм. работ (услуг)</t>
  </si>
  <si>
    <t>План.кол-во - объем</t>
  </si>
  <si>
    <t>Пред.ед.расценка ,руб</t>
  </si>
  <si>
    <t>План.ст-ть в год., руб</t>
  </si>
  <si>
    <t>План.ст-ть в год. ,т.руб</t>
  </si>
  <si>
    <t>Работы (услуги) по управлению многоквартирным домом</t>
  </si>
  <si>
    <t>ИТОГО по разделу 1: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</si>
  <si>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</si>
  <si>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</si>
  <si>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</si>
  <si>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раз в год</t>
  </si>
  <si>
    <t>ед.расценка</t>
  </si>
  <si>
    <t>кв.м.</t>
  </si>
  <si>
    <t>2.2</t>
  </si>
  <si>
    <t>Влажное подметание лестничных площадок и маршей выше 2-го этажа</t>
  </si>
  <si>
    <t>2.3</t>
  </si>
  <si>
    <t>Влажное подметание места перед загрузочными клапанами мусоропроводов</t>
  </si>
  <si>
    <t>работа не вып-ся</t>
  </si>
  <si>
    <t>2.4</t>
  </si>
  <si>
    <t>Уборка загрузочных клапанов мусоропровода</t>
  </si>
  <si>
    <t>шт.</t>
  </si>
  <si>
    <t>2.5</t>
  </si>
  <si>
    <t>Мытье пола кабины лифта</t>
  </si>
  <si>
    <t>2.6</t>
  </si>
  <si>
    <t xml:space="preserve">Мытье лестничных площадок и маршей </t>
  </si>
  <si>
    <t>2.6.1</t>
  </si>
  <si>
    <t>Мытье лестничных площадок и маршей нижних 2-х этажей</t>
  </si>
  <si>
    <t>2.6.2</t>
  </si>
  <si>
    <t>Мытье лестничных площадок и маршей выше 2-го этажа</t>
  </si>
  <si>
    <t>Мытье пожарных лестниц</t>
  </si>
  <si>
    <t xml:space="preserve">Мытье дверей витражных двупольных </t>
  </si>
  <si>
    <t>сметный расчет</t>
  </si>
  <si>
    <t>шт</t>
  </si>
  <si>
    <t>Мытье дверей межэтажных</t>
  </si>
  <si>
    <t>2.7</t>
  </si>
  <si>
    <t>Мытье окон</t>
  </si>
  <si>
    <t>2.8</t>
  </si>
  <si>
    <t xml:space="preserve">Влажная протирка 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</si>
  <si>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</si>
  <si>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</si>
  <si>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</si>
  <si>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</si>
  <si>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</si>
  <si>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</si>
  <si>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2.8.4</t>
  </si>
  <si>
    <t>Влажная протирка подоконников</t>
  </si>
  <si>
    <t>2.8.5</t>
  </si>
  <si>
    <t>Протирка световых домовых знаков или
уличных указателей, расположенных на
высоте не выше 3 метров</t>
  </si>
  <si>
    <t>2.8.6</t>
  </si>
  <si>
    <t>Обметание пыли с потолков</t>
  </si>
  <si>
    <t>2.8.7</t>
  </si>
  <si>
    <t>Влажная протирка отопительных приборов</t>
  </si>
  <si>
    <t>2.8.8</t>
  </si>
  <si>
    <t>Влажная протирка шкафов для электросчетчиков, слаботочных устройств</t>
  </si>
  <si>
    <t>2.8.9</t>
  </si>
  <si>
    <t>Промывка и очистка фасадов зданий от
атмосферных и грязепочвенных
загрязнений</t>
  </si>
  <si>
    <t>Влажная протирка почтовых ящиков</t>
  </si>
  <si>
    <t>2.8.10</t>
  </si>
  <si>
    <t>Влажная протирка стен, дверей кабины лифта</t>
  </si>
  <si>
    <t>2.9</t>
  </si>
  <si>
    <t>Чердаки и подвалы</t>
  </si>
  <si>
    <t>2.9.1</t>
  </si>
  <si>
    <t>Очистка подвалов и чердаков от мусора</t>
  </si>
  <si>
    <t>2.9.2</t>
  </si>
  <si>
    <t>Очистка кровли от снега (свесы, козырьки)</t>
  </si>
  <si>
    <t>в течение 3-х часов после снегопада</t>
  </si>
  <si>
    <t>2.10</t>
  </si>
  <si>
    <t xml:space="preserve">Очистка кровли </t>
  </si>
  <si>
    <t>2.10.1</t>
  </si>
  <si>
    <t>Очистка кровли и ее элементов (в том числе козырьков над подъездами) от мусора и листьев</t>
  </si>
  <si>
    <t>2.10.3</t>
  </si>
  <si>
    <t>2.10.4</t>
  </si>
  <si>
    <t>Очистка кровли от снега (в т.ч. со
сбрасыванием снега вниз и
формирование его в валы) при толщине
снега до 20 см</t>
  </si>
  <si>
    <t>Смена частей водосточных труб</t>
  </si>
  <si>
    <t>2.10.2</t>
  </si>
  <si>
    <t>Прочистка водоприемной воронки внутреннего водостока в теплый период</t>
  </si>
  <si>
    <t>по мере необходимости</t>
  </si>
  <si>
    <t>Прочистка водоприемной воронки внутреннего водостока в холодный период</t>
  </si>
  <si>
    <t>2.12</t>
  </si>
  <si>
    <t>Уборка мусороприемной камеры</t>
  </si>
  <si>
    <t>2.13</t>
  </si>
  <si>
    <t>Ремонт почтовых ящиков, установка, смена замка</t>
  </si>
  <si>
    <t>КХ</t>
  </si>
  <si>
    <t>2.14</t>
  </si>
  <si>
    <t>Иное (Работы по содержанию помещений, входящих в состав общего имущества в многоквартирном доме)</t>
  </si>
  <si>
    <t>Технические осмотры комнструктивных элемонтов мест общего пользования МКД</t>
  </si>
  <si>
    <t>2.15.1</t>
  </si>
  <si>
    <t>Технический осмотр рулонной кровли</t>
  </si>
  <si>
    <t>2.15.2</t>
  </si>
  <si>
    <t>Осмотр состояния стен, фасадов</t>
  </si>
  <si>
    <t>2.15.3</t>
  </si>
  <si>
    <t>Осмотр системы центрального
отопления, водопровода и горячего
водоснабжения</t>
  </si>
  <si>
    <t>2.15.4</t>
  </si>
  <si>
    <t>Осмотр линий электрических сетей,
арматуры и электрооборудования на
лестничных клетках</t>
  </si>
  <si>
    <t>2.15.5</t>
  </si>
  <si>
    <t>Проверка состояния силовых установок</t>
  </si>
  <si>
    <t>2.15.6</t>
  </si>
  <si>
    <t>Подготовка входных групп к зимнему периоду - регулировка дверных доводчиков для холодного времени года</t>
  </si>
  <si>
    <t>ИТОГО по разделу 2:</t>
  </si>
  <si>
    <t>3</t>
  </si>
  <si>
    <t>Работы по обеспечению вывоза ТБО</t>
  </si>
  <si>
    <t>3.1</t>
  </si>
  <si>
    <t>Вывоз и утилизация ТБО</t>
  </si>
  <si>
    <t>ежедневно</t>
  </si>
  <si>
    <t>Коммерческое предложение</t>
  </si>
  <si>
    <t>куб.м.</t>
  </si>
  <si>
    <t>3.2</t>
  </si>
  <si>
    <t>Иное (Работы по обеспечению вывоза твердых бытовых отходов)</t>
  </si>
  <si>
    <t>ИТОГО по разделу 3:</t>
  </si>
  <si>
    <t>Работы по обеспечению вывоза КГМ</t>
  </si>
  <si>
    <t>5</t>
  </si>
  <si>
    <t>Работы по содержанию и ремонту конструктивных элементов (несущих и ненесущих конструкций) МКД</t>
  </si>
  <si>
    <t>5.1</t>
  </si>
  <si>
    <t>Фундамент</t>
  </si>
  <si>
    <t>5.1.1</t>
  </si>
  <si>
    <t xml:space="preserve">Заделка и герметизация швов и стыков
цементным раствором
</t>
  </si>
  <si>
    <t>м</t>
  </si>
  <si>
    <t>5.1.2</t>
  </si>
  <si>
    <t>Восстановление поврежденных участков фундаментов</t>
  </si>
  <si>
    <t>5.1.3</t>
  </si>
  <si>
    <t>Восстановление гидроизоляции и систем водоотвода фундаментов</t>
  </si>
  <si>
    <t>5.1.4</t>
  </si>
  <si>
    <t>Восстановление поврежденных участков вентиляционных продухов</t>
  </si>
  <si>
    <t>5.1.5</t>
  </si>
  <si>
    <t>Восстановление поврежденных участков входов в подвалы</t>
  </si>
  <si>
    <t>5.1.6</t>
  </si>
  <si>
    <t>Иное (Фундамент)</t>
  </si>
  <si>
    <t>5.2</t>
  </si>
  <si>
    <t>Стены и фасад</t>
  </si>
  <si>
    <t>5.2.1</t>
  </si>
  <si>
    <t>Ремонт/Устройство вентилируемого фасада с облицовкой плитами типа керамогранит, устройство фасада по навесной системе из оцинкованной стали (без стоимости кронштейнов, вставок)</t>
  </si>
  <si>
    <t>5.2.3</t>
  </si>
  <si>
    <t>Ремонт пожарных лестниц (ремонт
металлических пожарных лестниц)</t>
  </si>
  <si>
    <t>один раз в год</t>
  </si>
  <si>
    <t xml:space="preserve"> кг
металлоконструкций
(сменяемых элементов)</t>
  </si>
  <si>
    <t>5.2.4</t>
  </si>
  <si>
    <t>Установка или замена флагодержателя</t>
  </si>
  <si>
    <t>5.2.5</t>
  </si>
  <si>
    <t>Восстановление поврежденных участков цоколей</t>
  </si>
  <si>
    <t>В ходе подготовки к эксплуатации дома в весенне-летний период</t>
  </si>
  <si>
    <t>5.2.6</t>
  </si>
  <si>
    <t>Окраска, промывка цоколей</t>
  </si>
  <si>
    <t>5.2.7</t>
  </si>
  <si>
    <t>Смена пластмассового короба домового знака или уличного указателя</t>
  </si>
  <si>
    <t>5.2.8</t>
  </si>
  <si>
    <t>Окраска фасадов высотой до 2 этажей
(не более 3 метров)</t>
  </si>
  <si>
    <t>5.2.9</t>
  </si>
  <si>
    <t>Иное (Стены и фасад)</t>
  </si>
  <si>
    <t>5.3</t>
  </si>
  <si>
    <t>Перекрытия</t>
  </si>
  <si>
    <t>5.3.1</t>
  </si>
  <si>
    <t>Частичная смена отдельных деревянных элементов</t>
  </si>
  <si>
    <t>5.3.2</t>
  </si>
  <si>
    <t>Заделка швов и трещин</t>
  </si>
  <si>
    <t>осмотр раз в год. По итогам осмотра работы включаются в план тек.ремонта</t>
  </si>
  <si>
    <t>5.3.3</t>
  </si>
  <si>
    <t>Укрепление и окраска</t>
  </si>
  <si>
    <t>5.3.4</t>
  </si>
  <si>
    <t>Иное (Перекрытия)</t>
  </si>
  <si>
    <t>5.4</t>
  </si>
  <si>
    <t>Крыши</t>
  </si>
  <si>
    <t>5.4.1</t>
  </si>
  <si>
    <t>Ремонт местами рулонного покрытия</t>
  </si>
  <si>
    <t>5.4.2</t>
  </si>
  <si>
    <t xml:space="preserve">Ремонт металлической парапетной
решетки: снятие старой парапетной
решетки отдельными частями </t>
  </si>
  <si>
    <t>м.п.</t>
  </si>
  <si>
    <t>5.4.4</t>
  </si>
  <si>
    <t>Ремонт конструкций и элементов крыши</t>
  </si>
  <si>
    <t>5.4.4.1</t>
  </si>
  <si>
    <t>Ремонт частей водосточных труб</t>
  </si>
  <si>
    <t>5.4.4.2</t>
  </si>
  <si>
    <t>Ремонт металлической парапетной решетки</t>
  </si>
  <si>
    <t>5.4.5</t>
  </si>
  <si>
    <t>Окраска конструкций и элементов крыши</t>
  </si>
  <si>
    <t>5.4.6</t>
  </si>
  <si>
    <t>Иное (Крыши)</t>
  </si>
  <si>
    <t>5.5</t>
  </si>
  <si>
    <t>Оконные и дверные заполнения на лестн.клетках и во вспомогательных помещенияхобщего пользования. входные двери</t>
  </si>
  <si>
    <t>5.5.1</t>
  </si>
  <si>
    <t>Текущий ремонт алюминиевых витражей с установкой нащельников и сливов без герметизации стыков / спаренные, обе рамы с фрамугами (двери входные)</t>
  </si>
  <si>
    <t>м.кв.</t>
  </si>
  <si>
    <t>5.5.2</t>
  </si>
  <si>
    <t>Установка алюминиевых дверей (со стоимостью дверных блоков и приборов)</t>
  </si>
  <si>
    <t>5.5.3</t>
  </si>
  <si>
    <t>Ремонт или замена входных дверей в подъезды</t>
  </si>
  <si>
    <t>5.5.4</t>
  </si>
  <si>
    <t>Ремонт окон в помещениях общего пользования</t>
  </si>
  <si>
    <t>устранение по мере обнаружения дефектов</t>
  </si>
  <si>
    <t>5.5.5</t>
  </si>
  <si>
    <t>Замена окон в помещениях общего пользования</t>
  </si>
  <si>
    <t>5.5.6</t>
  </si>
  <si>
    <t>Установка и текущий ремонт доводчиков</t>
  </si>
  <si>
    <t>5.5.7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</si>
  <si>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</si>
  <si>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5.6</t>
  </si>
  <si>
    <t>Лестницы,пандусы,крыльца,козырьки над входами в подъезды,подвалы и над балконами верхних этажей</t>
  </si>
  <si>
    <t>5.6.1</t>
  </si>
  <si>
    <t>Восстановление лестницы</t>
  </si>
  <si>
    <t>5.6.2</t>
  </si>
  <si>
    <t>Ремонт мозаичных ступеней по месту</t>
  </si>
  <si>
    <t>5.6.3</t>
  </si>
  <si>
    <t>Восстановление пандуса</t>
  </si>
  <si>
    <t>5.6.5</t>
  </si>
  <si>
    <t>Восстановление крыльца</t>
  </si>
  <si>
    <t>5.6.6</t>
  </si>
  <si>
    <t>Замена крыльца</t>
  </si>
  <si>
    <t>5.6.7</t>
  </si>
  <si>
    <t>Восстановление козырьков над входами в подъезды, ремонт кровельного покрытия козырьков, ложных балконов</t>
  </si>
  <si>
    <t>5.6.8</t>
  </si>
  <si>
    <t>Замена козырьков над входами в подъезды</t>
  </si>
  <si>
    <t>5.6.9</t>
  </si>
  <si>
    <t>Восстановление конструкций над балконами верхних этажей</t>
  </si>
  <si>
    <t>5.6.10</t>
  </si>
  <si>
    <t>Замена конструкций над балконами верхних этажей</t>
  </si>
  <si>
    <t>5.6.11</t>
  </si>
  <si>
    <t>Ремонт полов (на лестницах, чердаках, в холлах и подвалах)</t>
  </si>
  <si>
    <t>5.6.12</t>
  </si>
  <si>
    <t>Иное (Лестницы, пандусы, крыльца, козырьки над входами в подъезды, подвалы и над балконами верхних этажей)</t>
  </si>
  <si>
    <t>5.7</t>
  </si>
  <si>
    <t>Внутренняя отделка в подъездах, технич.помещениях, и других помещениях общего пользования</t>
  </si>
  <si>
    <t>5.7.1</t>
  </si>
  <si>
    <t>Ремонт внутренней штукатурки стен
отдельными местами площадью до 10
кв. м</t>
  </si>
  <si>
    <t>Заделка борозд после скрытой
прокладки электропроводки на стенах и
перегородках</t>
  </si>
  <si>
    <t>пог.м.</t>
  </si>
  <si>
    <t>5.7.2</t>
  </si>
  <si>
    <t>Ремонт внутренней штукатурки потолков
отдельными местами площадью до 10
кв. м</t>
  </si>
  <si>
    <t>5.7.3</t>
  </si>
  <si>
    <t>Ремонт лестничных клеток</t>
  </si>
  <si>
    <t>Смена акустических плит в подвесных потолках отдельными местами, плиты акустические, марка "Армстронг", тип "Gedina" А</t>
  </si>
  <si>
    <t>5.7.4</t>
  </si>
  <si>
    <t>Ремонт технических и вспомогательных помещений</t>
  </si>
  <si>
    <t>5.8</t>
  </si>
  <si>
    <t>Ремонт чердаков и подвалов</t>
  </si>
  <si>
    <t>5.8.1</t>
  </si>
  <si>
    <t>Утепление чердачных перекрытий</t>
  </si>
  <si>
    <t>5.8.2</t>
  </si>
  <si>
    <t>Утепление трубопроводов в чердачных помещениях</t>
  </si>
  <si>
    <t>5.8.3</t>
  </si>
  <si>
    <t>Утепление трубопроводов в подвальных помещениях</t>
  </si>
  <si>
    <t>В ходе подготовки к эксплуатации дома в осенне-зимний период</t>
  </si>
  <si>
    <t>5.8.4</t>
  </si>
  <si>
    <t>Изготовление новых или ремонт существующих ходовых досок и переходных мостиков на чердаках, в подвалах</t>
  </si>
  <si>
    <t>5.8.5</t>
  </si>
  <si>
    <t>Иное (Ремонт чердаков, подвалов)</t>
  </si>
  <si>
    <t>ИТОГО по разделу 5:</t>
  </si>
  <si>
    <t>6</t>
  </si>
  <si>
    <t>Работы по содержанию и ремонту оборудования и систем инженерно-технического обеспечения, входящих в состав общего имущества МКД</t>
  </si>
  <si>
    <t>6.1</t>
  </si>
  <si>
    <t>Консервация поливочной системы</t>
  </si>
  <si>
    <t>6.2</t>
  </si>
  <si>
    <t>Расконсервация поливочной системы</t>
  </si>
  <si>
    <t>Ремонт, регулировка, промывка и опрессовка систем центрального отопления, утепление бойлеров</t>
  </si>
  <si>
    <t>6.3</t>
  </si>
  <si>
    <t>Утепление вентиляционных и дымовых каналов</t>
  </si>
  <si>
    <t>6.4</t>
  </si>
  <si>
    <t>Прочистка вентиляционных и дымовых каналов</t>
  </si>
  <si>
    <t>6.5</t>
  </si>
  <si>
    <t>Ремонт и утепление наружных водоразборных кранов</t>
  </si>
  <si>
    <t>6.7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</si>
  <si>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</si>
  <si>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6.8</t>
  </si>
  <si>
    <t>Проверка исправности канализационных вытяжек</t>
  </si>
  <si>
    <t>6.9</t>
  </si>
  <si>
    <t>Устранение засора внутреннего канализационного трубопровода</t>
  </si>
  <si>
    <t>6.10</t>
  </si>
  <si>
    <t>Регулировка и наладка систем автоматики расширительных баков</t>
  </si>
  <si>
    <t>6.11</t>
  </si>
  <si>
    <t>Проверка заземления оболочки электрокабеля, оборудования (насосы, щитовые вентиляторы и др.)</t>
  </si>
  <si>
    <t>6.12</t>
  </si>
  <si>
    <t>Замеры сопротивления изоляции проводов, трубопроводов и восстановление цепей заземления</t>
  </si>
  <si>
    <t>6.13</t>
  </si>
  <si>
    <t>Поверка общедомовых приборов учета горячего и холодного водоснабжения, отопления, электроснабжения</t>
  </si>
  <si>
    <t>6.14</t>
  </si>
  <si>
    <t>Ремонт общедомовых приборов учета горячего и холодного водоснабжения, отопления, электроснабжения</t>
  </si>
  <si>
    <t>6.15</t>
  </si>
  <si>
    <t>Обслуживание ламп-сигналов</t>
  </si>
  <si>
    <t>гос услуга</t>
  </si>
  <si>
    <t>6.16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</si>
  <si>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</si>
  <si>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6.17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</si>
  <si>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</si>
  <si>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</si>
  <si>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</si>
  <si>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6.19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</si>
  <si>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</si>
  <si>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6.20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</si>
  <si>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</si>
  <si>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Техническое обслуживание светильника
наружного освещения типа "Краб",
расположенного на высоте до трех
метров</t>
  </si>
  <si>
    <t>Техническое обслуживание (проверка
исправности) устройства защитного
отключения (УЗО)</t>
  </si>
  <si>
    <t>6.21</t>
  </si>
  <si>
    <t>Гидропневматическая очистка системы отопления</t>
  </si>
  <si>
    <t>100 куб.м. здания</t>
  </si>
  <si>
    <t>6.22</t>
  </si>
  <si>
    <t>Обслуживание и ремонт АУУТЭ</t>
  </si>
  <si>
    <t>6.23</t>
  </si>
  <si>
    <t>Обслуживание и ремонт АСКУЭ</t>
  </si>
  <si>
    <t>6.25</t>
  </si>
  <si>
    <t>Обслуживание и ремонт тепловых пунктов</t>
  </si>
  <si>
    <t>6.27</t>
  </si>
  <si>
    <t>Ремонт электрооборудования (эл. щитков, замена АВР (аварийное включение резерва) и др. работы)</t>
  </si>
  <si>
    <t>6.28</t>
  </si>
  <si>
    <t>Техническое обслуживание светильников дежурного освещения</t>
  </si>
  <si>
    <t>6.29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</si>
  <si>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</si>
  <si>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ИТОГО по разделу 6:</t>
  </si>
  <si>
    <t>7</t>
  </si>
  <si>
    <t>Работы по содержанию и ремонту мусоропроводов в  МКД</t>
  </si>
  <si>
    <t>7.1</t>
  </si>
  <si>
    <t>Восстановление работоспособности вентиляционных и промывочных устройств, мусороприемных клапанов и шиберных устройств</t>
  </si>
  <si>
    <t>7.2</t>
  </si>
  <si>
    <t>Профилактический осмотр мусоропроводов</t>
  </si>
  <si>
    <t>7.3</t>
  </si>
  <si>
    <t>Видеодиагностика внутренней поверхности асбестоцементных стволов мусоропровода</t>
  </si>
  <si>
    <t>7.4</t>
  </si>
  <si>
    <t>7.5</t>
  </si>
  <si>
    <t>Мойка сменных мусоросборников</t>
  </si>
  <si>
    <t>7.6</t>
  </si>
  <si>
    <t>Мойка нижней части ствола и шибера мусоропровода</t>
  </si>
  <si>
    <t>7.7</t>
  </si>
  <si>
    <t>Очистка и дезинфекция всех элементов ствола мусоропровода</t>
  </si>
  <si>
    <t>7.8</t>
  </si>
  <si>
    <t>Дезинфекция мусоросборников</t>
  </si>
  <si>
    <t>7.9</t>
  </si>
  <si>
    <t>Устранение засора</t>
  </si>
  <si>
    <t>незамедлительное реагирование с момента получения заявки</t>
  </si>
  <si>
    <t>7.10</t>
  </si>
  <si>
    <t>Мелкий ремонт неисправностей мусоропровода</t>
  </si>
  <si>
    <t>7.11</t>
  </si>
  <si>
    <t>Иное (Работы по содержанию и ремонту мусоропроводов в многоквартирном доме)</t>
  </si>
  <si>
    <t>ИТОГО по разделу 7:</t>
  </si>
  <si>
    <t>8</t>
  </si>
  <si>
    <t>Работы по содержанию и ремонту лифтов в МКД</t>
  </si>
  <si>
    <t>8.1</t>
  </si>
  <si>
    <t>Обслуживание лифтов и лифтового оборудования</t>
  </si>
  <si>
    <t>круглосуточно</t>
  </si>
  <si>
    <t>8.2</t>
  </si>
  <si>
    <t>Организация системы диспетчерского контроля и обеспечение диспетчерской связи с кабиной лифта</t>
  </si>
  <si>
    <t>8.3</t>
  </si>
  <si>
    <t>Иное (Работы по содержанию и ремонту лифта (лифтов) в многоквартирном доме)</t>
  </si>
  <si>
    <t>ИТОГО по разделу 8:</t>
  </si>
  <si>
    <t>9</t>
  </si>
  <si>
    <t>Работы по обеспечению требований пожарной безопасности</t>
  </si>
  <si>
    <t>9.1</t>
  </si>
  <si>
    <t>Техническое обслуживание и текущий ремонт
системы противопожарной защиты в
22-этажных зданиях с приточно-вытяжной
вентиляцией с 2 приточными и 1 вытяжным
вентиляторами (типовой проект - КОПЭ) с
сигнализацией</t>
  </si>
  <si>
    <t>раз в месяц</t>
  </si>
  <si>
    <t>9.3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</si>
  <si>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</si>
  <si>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9.4</t>
  </si>
  <si>
    <t>Иное (Работы по обеспечению требований пожарной безопасности)</t>
  </si>
  <si>
    <t>ИТОГО по разделу 9:</t>
  </si>
  <si>
    <t>10</t>
  </si>
  <si>
    <t>Работы по содержанию и ремонту систем вентиляции</t>
  </si>
  <si>
    <t>10.1</t>
  </si>
  <si>
    <t>Проверка и прочистка вентиляционных
каналов с пробивкой и заделкой
отверстий</t>
  </si>
  <si>
    <t>квартир</t>
  </si>
  <si>
    <t>этот объем уже был</t>
  </si>
  <si>
    <t>10.3</t>
  </si>
  <si>
    <t>Ремонт вентиляционных коробов при
прочистке засоренных вентиляционных
коробов</t>
  </si>
  <si>
    <t>10.4</t>
  </si>
  <si>
    <t>Прочистка горизонтального дымохода с
пробивкой и заделкой отверстий</t>
  </si>
  <si>
    <t>10м</t>
  </si>
  <si>
    <t>ИТОГО по разделу 10:</t>
  </si>
  <si>
    <t>11</t>
  </si>
  <si>
    <t xml:space="preserve">Работы по ПРОВЕДЕНИЮ ТЕХНИЧЕСКИХ ОСМОТРОВ
ЭЛЕКТРОТЕХНИЧЕСКИХ УСТРОЙСТВ МНОГОКВАРТИРНОГО ДОМА
</t>
  </si>
  <si>
    <t>11.1</t>
  </si>
  <si>
    <t xml:space="preserve">Проведение технических осмотров электротехнических
устройств многоквартирного дома (бытовых напольных
электроплит с жарочным шкафом - контрольные функции)
</t>
  </si>
  <si>
    <t>ИТОГО по разделу 11:</t>
  </si>
  <si>
    <t>12</t>
  </si>
  <si>
    <t>Обеспечения устранения аварий на внутридомовых инженерных системах в МКД</t>
  </si>
  <si>
    <t>12.1</t>
  </si>
  <si>
    <t>Устранение аварии</t>
  </si>
  <si>
    <t>12.2</t>
  </si>
  <si>
    <t>Выполнение заявок населения</t>
  </si>
  <si>
    <t>12.3</t>
  </si>
  <si>
    <t>Иное (Обеспечение устранения аварий на внутридомовых инженерных системах в многоквартирном доме)</t>
  </si>
  <si>
    <t>ежемесячно</t>
  </si>
  <si>
    <t>ИТОГО по разделу 12:</t>
  </si>
  <si>
    <t>13</t>
  </si>
  <si>
    <t>Расход эл/энергии, потребленной на дежурное освещени мест общего пользования и работу лифтов (общедомовые нужды)</t>
  </si>
  <si>
    <t>ИТОГО по разделу 13:</t>
  </si>
  <si>
    <t>14</t>
  </si>
  <si>
    <t>Расход воды на общедомовые нужды</t>
  </si>
  <si>
    <t>ИТОГО по разделу 14:</t>
  </si>
  <si>
    <t>15</t>
  </si>
  <si>
    <t>Проведение дератизации и дезинсекции помещений, входящих в состав общего имущества в МКД</t>
  </si>
  <si>
    <t>15.1</t>
  </si>
  <si>
    <t>Дератизация</t>
  </si>
  <si>
    <t>коммерческое предложение</t>
  </si>
  <si>
    <t>15.2</t>
  </si>
  <si>
    <t>ОЗДС</t>
  </si>
  <si>
    <t>ед</t>
  </si>
  <si>
    <t>15.3</t>
  </si>
  <si>
    <t>Дезинсекция</t>
  </si>
  <si>
    <t>ИТОГО по разделу 15:</t>
  </si>
  <si>
    <t>16</t>
  </si>
  <si>
    <t>Прочие работы по содержанию и ремонту общего имущества в МКД</t>
  </si>
  <si>
    <t>Техническое обслуживание счетчиков
холодной и горячей воды</t>
  </si>
  <si>
    <t>16.2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</si>
  <si>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</si>
  <si>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Диспетчеризация систем инженерного оборудования</t>
  </si>
  <si>
    <t xml:space="preserve">Содержание и текущий ремонт СКУД </t>
  </si>
  <si>
    <t>Содержание и текущий ремонт системы видеонаблюдения</t>
  </si>
  <si>
    <t>Содержание и текущий ремонт системы домофонной связи</t>
  </si>
  <si>
    <t>16.3</t>
  </si>
  <si>
    <t>Иное (Прочие работы и услуги по содержанию и ремонту общего имущества в многоквартирном доме)</t>
  </si>
  <si>
    <t>ИТОГО по разделу 16:</t>
  </si>
  <si>
    <t>17</t>
  </si>
  <si>
    <t>Работы по содержанию земельного участка, текущему ремонту и содержанию МАФ, объектов благоустройства и озелениения</t>
  </si>
  <si>
    <t>ставка правительства Москвы</t>
  </si>
  <si>
    <t>ИТОГО по разделу 17:</t>
  </si>
  <si>
    <t>ИТОГО ПО ПЛАНУ</t>
  </si>
  <si>
    <t>РАСЧЕТНЫЕ ПЛОЩАДИ:</t>
  </si>
  <si>
    <t xml:space="preserve">РАСЧЕТ </t>
  </si>
  <si>
    <t>СТОИМОСТИ ЗАТРАТ</t>
  </si>
  <si>
    <t>ЦЕЛЕВОГО СБОРА НА ВЫВОЗ СТРОИТЕЛЬНОГО МУСОРА</t>
  </si>
  <si>
    <t>квартиры без ремонта</t>
  </si>
  <si>
    <t>квартиры с ремонтом</t>
  </si>
  <si>
    <t>№ п/п</t>
  </si>
  <si>
    <t>Номенклатура затрат</t>
  </si>
  <si>
    <t>Единица измерения</t>
  </si>
  <si>
    <t>Показатель</t>
  </si>
  <si>
    <t>Натуральные показатели</t>
  </si>
  <si>
    <t>Площадь жилых/нежилых помещений</t>
  </si>
  <si>
    <t>Количество квартир/апарт. 1 комн.</t>
  </si>
  <si>
    <t>Количество квартир/апарт. 2 комн.</t>
  </si>
  <si>
    <t>Количество квартир/апарт. 3 комн.</t>
  </si>
  <si>
    <t>Количество квартир/апарт. 4 комн.</t>
  </si>
  <si>
    <t xml:space="preserve">Стоимость вывоза  1 комн. </t>
  </si>
  <si>
    <t>руб.</t>
  </si>
  <si>
    <t>Стоимость вывоза  2 комн.</t>
  </si>
  <si>
    <t>Стоимость вывоза  3 комн.</t>
  </si>
  <si>
    <t>Стоимость вывоза 4 комн.</t>
  </si>
  <si>
    <t>Итгого стоимость вывоза  1 комн.</t>
  </si>
  <si>
    <t>Итого стоимость вывоза  2 комн.</t>
  </si>
  <si>
    <t>Итого стоимость вывоза  3 комн.</t>
  </si>
  <si>
    <t>Итого стоимость вывоза  4 комн.</t>
  </si>
  <si>
    <t>ВСЕГО</t>
  </si>
  <si>
    <t xml:space="preserve">Итого стоимость затрат </t>
  </si>
  <si>
    <t>калитки</t>
  </si>
  <si>
    <t>ворота</t>
  </si>
  <si>
    <t>покраска забора</t>
  </si>
  <si>
    <t>двери паркинга</t>
  </si>
  <si>
    <t>НА ОХРАННЫЕ УСЛУГИ</t>
  </si>
  <si>
    <t>5 постов</t>
  </si>
  <si>
    <t>Площадь
жилых и нежилых помещений,
в том числе Паркинг</t>
  </si>
  <si>
    <t>м2</t>
  </si>
  <si>
    <t>Прямые расходы,
в том числе:</t>
  </si>
  <si>
    <t>2.1.</t>
  </si>
  <si>
    <t>Количество постов диспетчера-контролера</t>
  </si>
  <si>
    <t>2.2.</t>
  </si>
  <si>
    <t>Затраты на 1 пост</t>
  </si>
  <si>
    <t>Рентабельность (12%)</t>
  </si>
  <si>
    <t>Итого стоимость затрат без НДС</t>
  </si>
  <si>
    <t>руб./мес.</t>
  </si>
  <si>
    <t>руб./пост</t>
  </si>
  <si>
    <t>руб./м2</t>
  </si>
  <si>
    <t>Итого стоимость затрат с НДС</t>
  </si>
  <si>
    <t>НА УСЛУГИ КОНСЪЕРЖА</t>
  </si>
  <si>
    <t xml:space="preserve">Количество постов </t>
  </si>
  <si>
    <t>НА УСЛУГИ ПРЕДСЕДАТЕЛЯ</t>
  </si>
  <si>
    <t>Замена ковров</t>
  </si>
  <si>
    <t>ПЕРЕЧЕНЬ</t>
  </si>
  <si>
    <t xml:space="preserve"> работ и услуг по содержанию и ремонту общего имущества  многоквартирного дома по адресу:  </t>
  </si>
  <si>
    <t>N п/п</t>
  </si>
  <si>
    <t>Наименование (виды) работ и услуг</t>
  </si>
  <si>
    <t>Периодичность выполнения работ</t>
  </si>
  <si>
    <t>Стоимость работ и услуг в год, руб., в т.ч НДС</t>
  </si>
  <si>
    <t>Цена на 1 кв.м., руб., в т.ч. НДС *</t>
  </si>
  <si>
    <t>1.</t>
  </si>
  <si>
    <t>Содержание и мелкий текущий ремонт конструктивных элементов зданий</t>
  </si>
  <si>
    <t>1.1.</t>
  </si>
  <si>
    <t>Фундаменты</t>
  </si>
  <si>
    <t>Устранение местных деформаций, усиление, восстановление поврежденных участков гидроизоляции фундаментов, вентиляционных продухов, приямков, отмостки, входов в подвалы</t>
  </si>
  <si>
    <t>1.2.</t>
  </si>
  <si>
    <t>Стены и фасады</t>
  </si>
  <si>
    <t>1.2.1.</t>
  </si>
  <si>
    <t>Осмотр состояния стен, фасадов. Удаление и снятие отделки наружной поверхности стен, укрепление домовых номерных знаков, лестничных указателей и других элементов визуальной информации, а также козырьков, перил крылец.</t>
  </si>
  <si>
    <t>2 раза в год</t>
  </si>
  <si>
    <t>1.2.2.</t>
  </si>
  <si>
    <t>Заделка трещин, отверстий, гнез, борозд, расшивка швов, восстановление облицовки, герметизация стыков, заделка и восстановление архитектурных элементов, простенков, перемычек, карнизов.</t>
  </si>
  <si>
    <t>1.3.</t>
  </si>
  <si>
    <t>1.3.1.</t>
  </si>
  <si>
    <t>Технический осмотр целостности гидроизоляционного покрытия и элементов его крепления; проверка вентиляционных каналов, закрытие слуховых окон, люков и входов на чердак. Укрепление и прочистка рядовых звеньев, водоприемных воронок, колен и отмета наружного водостока; промазка кровельных фальцев и образовавшихся свищей.</t>
  </si>
  <si>
    <t>1.3.2.</t>
  </si>
  <si>
    <t>Все виды работ по устранению неисправностей кровель (кроме полной замены), включая все элементы примыкания к конструкциям, покрытия парапетов, козырьков и зонты над трубами; укрепление и замена водосточных труб, парапетных решеток, пожарных лестниц, стремянок, гильз, устройств заземления здания, очистка кровель</t>
  </si>
  <si>
    <t>1.4.</t>
  </si>
  <si>
    <t>Оконные и дверные заполнения</t>
  </si>
  <si>
    <t>1.4.1.</t>
  </si>
  <si>
    <t>Укрепление и регулировка пружин, доводчиков и амортизаторов на входных дверях, укрепление стекол, ручек и шпингалетов на оконных и дверных заполнениях; закрытие подвальных и чердачных дверей, металлических решеток и лазов на замке, сезонная подготовка</t>
  </si>
  <si>
    <t>1.4.2.</t>
  </si>
  <si>
    <t>Установка и снятие доводчиков пружин, упоров и пр.; смена и восстановление отдельных элементов, частичная замена оконных и дверных заполнений; работы по восстановлению разбитых стекол и сорванных створок оконных переплетов, форточек, дверных полотен.</t>
  </si>
  <si>
    <t>1.5.</t>
  </si>
  <si>
    <t>Лестницы, балконы, крыльца (зонты-козырьки) над входами в подъезды, подвалы, над балконами верхних этажей</t>
  </si>
  <si>
    <t>Замена выбоин, трещин ступеней лестниц и площадок, отдельных ступеней, проступей, подступенков; восстановление гидроизоляции в сопряжениях балконных плит, крылец, зонтов; восстановление или замена отельных элементов крылец, восстановление зонтов над входами в подъезды, подвалы и над балконами верхних этажей.</t>
  </si>
  <si>
    <t>1.6.</t>
  </si>
  <si>
    <t>Смена акустических плит в подвесных потолках отдельными местами, плиты акустические, марка "Армстронг", тип "Gedina" А, ремонт внутренней штукатурки стен, Заделка борозд после скрытой
прокладки электропроводки на стенах и
перегородках и пр.</t>
  </si>
  <si>
    <t>1.7.</t>
  </si>
  <si>
    <t>Полы в местах общего пользования</t>
  </si>
  <si>
    <t>Замена отдельных участков полов и покрытия полов, замена (устройство) гидроизоляции полов в местах, относящихся к общему имуществу дома.</t>
  </si>
  <si>
    <t>2.</t>
  </si>
  <si>
    <t>Содержание и мелкий текущий ремонт внутридомового инженерного оборудования и инженерных сетей</t>
  </si>
  <si>
    <t>Проведение технических осмотров и мелкий текущий ремонт инженерного оборудования и систем</t>
  </si>
  <si>
    <t>2.1.1.</t>
  </si>
  <si>
    <t>Осмотр водопровода, канализации и горячего водоснабжения.</t>
  </si>
  <si>
    <t>4 раза в год</t>
  </si>
  <si>
    <t>2.1.2.</t>
  </si>
  <si>
    <t>Осмотр электросети, арматура, силовых установок, электрооборудование на лестничных клетках.</t>
  </si>
  <si>
    <t>2.2.1.</t>
  </si>
  <si>
    <t>Содержание и текущий ремонт систем отопления, холодного и горячего водоснабжения, канализации</t>
  </si>
  <si>
    <t>2.2.2.</t>
  </si>
  <si>
    <t>Содержание и текущий ремонт системы электроснабжения</t>
  </si>
  <si>
    <t>согласно требованиям технических регламентов</t>
  </si>
  <si>
    <t>2.2.3.</t>
  </si>
  <si>
    <t>2.2.4.</t>
  </si>
  <si>
    <t>2.2.5.</t>
  </si>
  <si>
    <t>2.2.6.</t>
  </si>
  <si>
    <t>2.2.7.</t>
  </si>
  <si>
    <t>2.2.8.</t>
  </si>
  <si>
    <t>Содержание и текущий ремонт вентиляционных каналов и дымоходов</t>
  </si>
  <si>
    <t>2.2.9.</t>
  </si>
  <si>
    <t>Обслуживание и ремонт системы ОЗДС</t>
  </si>
  <si>
    <t>2.2.10.</t>
  </si>
  <si>
    <t>Обслуживание систем дымоудаления и пожарной автоматики</t>
  </si>
  <si>
    <t>1 раз в месяц</t>
  </si>
  <si>
    <t>2.2.11.</t>
  </si>
  <si>
    <t>2.2.12.</t>
  </si>
  <si>
    <t>Проведение электротехнических замеров:</t>
  </si>
  <si>
    <t>- сопротивления;</t>
  </si>
  <si>
    <t>- изоляции;</t>
  </si>
  <si>
    <t>- фазы-нуль</t>
  </si>
  <si>
    <t>2.3.</t>
  </si>
  <si>
    <t>Содержание и текущий ремонт лифтового хозяйства, подъемных устройств и платформ</t>
  </si>
  <si>
    <t>2.3.1.</t>
  </si>
  <si>
    <t>Техническое обслуживание и ремонт лифтов включает: проведение смазки, чистки, наладки, регулировки, ремонта, замены лифтового оборудования и аварийно-техническое круглосуточное обслуживание с эвакуацией пассажиров, ремонт и пуск лифта.</t>
  </si>
  <si>
    <t>3.</t>
  </si>
  <si>
    <t>Благоустройство и обеспечение санитарного состояния жилых зданий и придомовых территорий</t>
  </si>
  <si>
    <t>3.1.</t>
  </si>
  <si>
    <t>Уборка лестничных клеток</t>
  </si>
  <si>
    <t>3.1.1.</t>
  </si>
  <si>
    <t>Влажное подметание лестничных площадок и маршей до 2го этажа</t>
  </si>
  <si>
    <t>3.1.2.</t>
  </si>
  <si>
    <t>Влажное подметание лестничных площадок и маршей выше 2го этажа</t>
  </si>
  <si>
    <t>1 раз в неделю</t>
  </si>
  <si>
    <t>3.1.3.</t>
  </si>
  <si>
    <t>Мытье лестничных клеток и маршей</t>
  </si>
  <si>
    <t>2 раза в месяц</t>
  </si>
  <si>
    <t>3.1.4.</t>
  </si>
  <si>
    <t>Влажная протирка стен, дверей, плафонов и потолков кабины лифта</t>
  </si>
  <si>
    <t>3.1.5.</t>
  </si>
  <si>
    <t>Влажная протирка плафонов на лестничных клетках, оконных решеток, подоконников, почтовых ящиков, обментание пыли с потолков</t>
  </si>
  <si>
    <t>1 раза в год</t>
  </si>
  <si>
    <t>3.1.6.</t>
  </si>
  <si>
    <t>Влажная протирка подоконников, отопительных приборов</t>
  </si>
  <si>
    <t>3.1.7.</t>
  </si>
  <si>
    <t>Мытье дверей и окон</t>
  </si>
  <si>
    <t>3.1.8.</t>
  </si>
  <si>
    <t>Уборка чердачного и подвального помещений</t>
  </si>
  <si>
    <t>3.1.9.</t>
  </si>
  <si>
    <t>Дератизация и дезинсекция мест общего пользования</t>
  </si>
  <si>
    <t>Дополнительная уборка</t>
  </si>
  <si>
    <t>по решению ОСС</t>
  </si>
  <si>
    <t>4.</t>
  </si>
  <si>
    <t>Аварийно-диспетчерское обслуживание</t>
  </si>
  <si>
    <t>4.1.</t>
  </si>
  <si>
    <t>Аварийное обслуживание</t>
  </si>
  <si>
    <t>На системах водоснабжения, теплоснабжения,  в течение 30 минут; на системах канализации в течение 30 минут; на системах энергоснабжения в течение 30 минут после получения заявки диспетчером. протечки кровли ___1__ сутки(ок)
нарушение водоотвода___5__ суток
замена разбитого стекла  __1__ сутки(ок)
неисправность осветительного оборудования помещений общего пользования ___7__ сутки(ок)
неисправность электрической проводки оборудования ____3____ часов
неисправность лифта ___24___ часов
 с момента получения заявки</t>
  </si>
  <si>
    <t>5.</t>
  </si>
  <si>
    <t>Прочие услуги</t>
  </si>
  <si>
    <t>5.1.</t>
  </si>
  <si>
    <t>Техническое обслуживание электрооборудования (эл.плит)</t>
  </si>
  <si>
    <t>1 раз в год</t>
  </si>
  <si>
    <t>5.2.</t>
  </si>
  <si>
    <t>Техническое обслуживание счетчиков (ОДПУ)
холодной и горячей воды</t>
  </si>
  <si>
    <t>5.3.</t>
  </si>
  <si>
    <t>5.4.</t>
  </si>
  <si>
    <t>Работы по содержанию земельного участка</t>
  </si>
  <si>
    <t>Вывоз и  обезвреживание ТБО, КГМ</t>
  </si>
  <si>
    <t>5.9</t>
  </si>
  <si>
    <t>Услуги по управлению многокварирным домом</t>
  </si>
  <si>
    <t>5.10</t>
  </si>
  <si>
    <t>Прочие и непредвиденные работы и услуги</t>
  </si>
  <si>
    <t>Работы по текущему ремонту элементов благоустройства и территории</t>
  </si>
  <si>
    <t>ИТОГО</t>
  </si>
  <si>
    <t>нет в базе</t>
  </si>
  <si>
    <t>норматив по СН-2012 применяется к отрасли "Здравоохранение". Для жилых зданий и админ.зд. нормативы не разработаны.  Сумма указана с учетом помывки наружной и внутр.поверхности окон</t>
  </si>
  <si>
    <t>С учетом НДС???</t>
  </si>
  <si>
    <t>Предоставить копию документа на нормативно-правовой акт, где определена "ставка"  и даны разъяснения по площади, учитываемой для расчета.</t>
  </si>
  <si>
    <t>Предоставить копии ком.предложений и технические задания, на основании которых формировалась стоимость КП. Обязательно проверить в КП на какой срок произведен расчет - на месяц либо на весь год!!! Т.к. умножают сумму на 12 мес.</t>
  </si>
  <si>
    <r>
      <t xml:space="preserve">примегительно для ориентира. Норматив дан  для стен, </t>
    </r>
    <r>
      <rPr>
        <u/>
        <sz val="11"/>
        <rFont val="Times New Roman"/>
        <family val="1"/>
        <charset val="204"/>
      </rPr>
      <t>облицованных керам.плиткой</t>
    </r>
    <r>
      <rPr>
        <sz val="11"/>
        <rFont val="Times New Roman"/>
        <family val="1"/>
        <charset val="204"/>
      </rPr>
      <t>, . в зданиях административно-хозяйственного назначения</t>
    </r>
  </si>
  <si>
    <t xml:space="preserve">норматив по СН-2012 применяется к отрасли "Образование" для металлических дверей с глухими полотнами. Для жилых зданий и админ.зд. нормативы не разработаны.  </t>
  </si>
  <si>
    <t>норматив по СН-2012 применяется к отрасли "Здравоохранение". Для жилых зданий и админ.зд. нормативы не разработаны.</t>
  </si>
  <si>
    <t>Примечание о применительности нормативов по СН-2012</t>
  </si>
  <si>
    <t>применительно нормативы по СН-2012 на весь объем с учетом периодичности, руб. без НДС</t>
  </si>
  <si>
    <t>применительно нормативы по СН-2012 на весь объем с учетом периодичности, руб. с НДС</t>
  </si>
  <si>
    <t>прим., для ориентира. Норматив дан  для зданий административно-хозяйственного назначения</t>
  </si>
  <si>
    <t>!! исключить из п. 2.9 стоимость и данные из раздела "Чердаки и подвалы", уточнить в п. 2.10.3 объем очистки от снега!!! Кровля на здании плоская, рулонная с внутренним водоотводом</t>
  </si>
  <si>
    <t>исключить</t>
  </si>
  <si>
    <t>Уточнить площадь, т.к. на 22-24 эт. Здание ни мусора, ни листьев не наметает.</t>
  </si>
  <si>
    <t>Требуется расчет "единичных расценок" и расшифровка по статьям затрат.</t>
  </si>
  <si>
    <t>Существует подготовка к холодному и теплому времени года. Периодичность за год составляет всего 2 раза. Подготовка 4 дверей в двум сезонам составит1 109,84 руб. без НДС по СН-2012</t>
  </si>
  <si>
    <t xml:space="preserve">Предоставить копии ком.предложения и техническое задание, на основании которых сформирована стоимость КП. </t>
  </si>
  <si>
    <t>https://www.mos.ru/dgkh/documents/deistvuiushchie-normativnye-pravovye-akty/view/233590220/</t>
  </si>
  <si>
    <t>норматив накопления ТКО и КГМ:</t>
  </si>
  <si>
    <t>Распоряжение Департамента жилищно-коммунального хозяйства города Москвы № 01-01-14-513/19 от 27.11.2019 «Об утверждении нормативов накопления ТКО»</t>
  </si>
  <si>
    <t>consultantplus://offline/ref=10553BD2DCB26255E45AA2886FFAFE79C592E64F4A7A174D8DECADB0EA90D35CAC6EB45A8CA05A8EB0DF66193A564CFAF4298ED4D80A6FED7EvBR8F</t>
  </si>
  <si>
    <t>1.9-3201-3-1/1 "Ремонт пожарных металлических лестниц" объем =0,012т</t>
  </si>
  <si>
    <t>1.14-3503-6-2/1 Демонтаж + Устройство вентилируемого фасада с облицовкой плитами типа керамогранит, устройство фасада по навесной системе из оцинкованной стали (без стоимости кронштейнов, вставок)</t>
  </si>
  <si>
    <t>Какой ремонт труб, если внутренний водоотвод???</t>
  </si>
  <si>
    <r>
      <rPr>
        <sz val="11"/>
        <color rgb="FFFF0000"/>
        <rFont val="Times New Roman"/>
        <family val="1"/>
        <charset val="204"/>
      </rPr>
      <t xml:space="preserve">??? Зачем менять двери, если они новые и только 1 год эксплуатации дома начинается??? </t>
    </r>
    <r>
      <rPr>
        <sz val="11"/>
        <color rgb="FF000000"/>
        <rFont val="Times New Roman"/>
        <family val="1"/>
        <charset val="204"/>
      </rPr>
      <t>Ориентировочно установка 48м2 ал.дверей составляет (12 шт. около 4м2, т.к. они больше по размеру в местах общего пользования, чем квартирные ) без стоимости дверных блоков и приборов:</t>
    </r>
  </si>
  <si>
    <t>Представить сметный расчет и обоснование стоимости дверей с фурнитурой (это порядка 40т.р. На 1 дверь???).</t>
  </si>
  <si>
    <t>1.6-3202-2-1/2 Смена акустических плит в подвесных потолках отдельными местами, плиты акустические, марка "Армстронг", тип "Gedina" А</t>
  </si>
  <si>
    <r>
      <t xml:space="preserve">нет в базе.!!!  </t>
    </r>
    <r>
      <rPr>
        <sz val="11"/>
        <color rgb="FFFF0000"/>
        <rFont val="Times New Roman"/>
        <family val="1"/>
        <charset val="204"/>
      </rPr>
      <t xml:space="preserve">Обратить внимание, что в данном пункте  п. 2,8 "Влажная протирка", учтена стоимость  не 12 мес.по данному виду услуг, а 13мес = 1+12 </t>
    </r>
  </si>
  <si>
    <t>задвоение общей стоимости услуг в п. 2,8 "Влажная уборка", т.к. дважды работы суммируются под одним номером пунктов 2.8.6 по строке 32,33  (требуется учеть один раз)</t>
  </si>
  <si>
    <t xml:space="preserve">Превышения не выявлено. </t>
  </si>
  <si>
    <t>требуются детальные объемы по видам услуг</t>
  </si>
  <si>
    <t>Требуется детализация по видам работ с предоставлением объемов.</t>
  </si>
  <si>
    <t xml:space="preserve">Требуется расчет "единичных расценок" и расшифровка по статьям затрат. </t>
  </si>
  <si>
    <t>Если объем  с пог.метра, а не в шт., то по шифру1.18-3101-1-1/1 "Ремонт вентиляционных коробов и каналов - прочистка каналов с пробивкой и заделкой отверстий".</t>
  </si>
  <si>
    <t>Если объем с пог.метра, а не в шт., то по шифру1.16-3101-3-1/1Прочистка канализационной сети внутренней</t>
  </si>
  <si>
    <t>??? По ед.имз. объма, а так нет превышения"….Требуется расчет "единичных расценок" и расшифровка по статьям затрат.</t>
  </si>
  <si>
    <t>Требуются детальные объемы с указанием проложенной линии 2-х,3-х, 4-х каб.</t>
  </si>
  <si>
    <t>Предоставить сметный расчет с указанием видов услуги и объемами.</t>
  </si>
  <si>
    <t>прим. Шифр 2.10-3101-1-1/1 "Техническое обслуживание светильников наружного освещения с лампами ДРЛ, ДРИ" (учтены вышки телескопические)</t>
  </si>
  <si>
    <t>шифр 1.21-2303-21-1/1 "Техническое обслуживание устройства защитного отключения (УЗО)"</t>
  </si>
  <si>
    <t>Предоставить КП, копию подписанного договора с поставщиком услуг.</t>
  </si>
  <si>
    <t>есть шифры 1.17-2103-11-1,2/1 "Гидропневматическая промывка трубопроводов диаметром до 50 мм/до 100мм". Ед. изм. по нормативу "погонные метры". Существуют комплексные стоим.нормативы по "ТО и эксплуатация в течение года систем водяного отопления общественных зданий с элеваторным/безэлеваторным вводом/с бойлерным нагревом / с регулятором "Электроника Р-1М"" с различными расчетными тепловыми нагрузками от 0,1 до 0,5 Гкал/час. Ед. изм. -1 система.</t>
  </si>
  <si>
    <t>шифр 1.20-2103-6-1/1 "Техническое обслуживание осветительной арматуры с люминесцентными лампами с лестниц"</t>
  </si>
  <si>
    <t>Требуется расчет "единичных расценок" и расшифровка по статьям затрат с указанием объемов.</t>
  </si>
  <si>
    <t>1.50-1201-4-2/1 "Уборка загрузочных клапанов мусоропровода" ед. изм. - шт. Цена за 1 шт. - 43,53 руб. без НДС</t>
  </si>
  <si>
    <t>не превышает за 1 шт.</t>
  </si>
  <si>
    <t>Уточнить объемы.</t>
  </si>
  <si>
    <t>1.50-1103-1-1/1 "Дезинфекция ствола мусоропровода". Ед.изм - 1пог.метр. Цена за 1 пог.м=51,14 руб. без НДС/1 раз в год</t>
  </si>
  <si>
    <t>1.50-1103-1-2/1 2Дезинфекция мусоросборных контейнеров" ед.изм. -шт. цена за 1 шт. =885,98 руб. без НДС с периодичностью ежемесячно, т.е. за 12 раз.</t>
  </si>
  <si>
    <t>Требуется расчет "единичных расценок" и расшифровка по статьям затрат ,с указанием объемов.</t>
  </si>
  <si>
    <t>нет в базе.</t>
  </si>
  <si>
    <t>нет в базе. Обратить внимание, что учитывается ремонт неисп.мусопровода также в п.7.10</t>
  </si>
  <si>
    <t>Требуется расчет "единичных расценок" и расшифровка по статьям затрат .</t>
  </si>
  <si>
    <t xml:space="preserve">применительно  принят норматив на макс. груоподъемность 1000 кг, со скоростью 1 м/с, макс.кол-во этажей по комплексному нормативу - 17этажей    (прим.)Шифр 6.4-0122-4-15 "ТО лифтов пассажирских с верхним машинным помещением, с раздвижными автоматическими дверями, грузоподъемность 1000 кг, скорость движения кабины 1 м/с, годовое, на количество этажей 17". </t>
  </si>
  <si>
    <t>По данному адресу дом не является серией КОПЭ. (прим.) рассчитан норматив по шифру 1.23-3501-35-1/1 "Текущий ремонт систем противопожарной защиты в зданиях 22-х этажных с приточно-вытяжной вентиляцией с 2-мя приточными и 1-м вытяжным вентиляторами и сигнализацией, типовой проект - КОПЭ" с периодичностью 12 раз в год. ед.изм. - 1 секция. Учтено при расчете кол-во секций -1 шт.</t>
  </si>
  <si>
    <t xml:space="preserve">Выявлено задвоение услуг, см. раздел 6 пункты 6.4 и, возможно, п. 6,7. </t>
  </si>
  <si>
    <t xml:space="preserve">Задвоение по п.6,4 и, возможно, в  п.6,7. Тарифы у управяющей компании разные. Требуется  предоставить расчет "единичных расценок" и расшифровка по статьям затрат </t>
  </si>
  <si>
    <t>???</t>
  </si>
  <si>
    <t>для ориентира - есть только норматив для дымоходов из кирпича. При расчете по применительному нормативу шифр 1.12-3101-7-1/1 "Прочистка дымохода из кирпича горизонтального". Ед.изм. - 100 пог.м. Рассчитан на объем 1 пог.м. - 61,28 руб. без НДС/ разово</t>
  </si>
  <si>
    <t>Предоставить КП, копию подписанного договора.</t>
  </si>
  <si>
    <t>Уточнить где проводятся мероприятия - на территории, в подвалах и чердаках????</t>
  </si>
  <si>
    <t xml:space="preserve">шифр </t>
  </si>
  <si>
    <t>не превышает, но взят прим.норматив….Требуется расчет "единичных расценок" и расшифровка по статьям затрат.</t>
  </si>
  <si>
    <t>прим. 1.50-3203-24-1/1 "Заполнение вертикальных швов стеновых панелей цементным раствором"</t>
  </si>
  <si>
    <r>
      <rPr>
        <b/>
        <sz val="11"/>
        <color rgb="FFFF0000"/>
        <rFont val="Times New Roman"/>
        <family val="1"/>
        <charset val="204"/>
      </rPr>
      <t>Пояснить скидывание снега с 22-24 эт.дома вниз с площади 3523,2 м2??? Крыша плоская, рулонная с внутр.водоотводом - ее вообще чистить не надо (только в местах возникновения протечки).!!!!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Если это очистка снега с козырьков, то площадь с 4 козырьков подъездных не может составлять 3523,2м2, а не более 60м2 Накопление снега  не разрешено больше 10см!!! А очистка с козырьков учтена в п. 2.10.3</t>
    </r>
  </si>
  <si>
    <t>Предоставить сметный расчет. Периодичность должна быть 1 раз при подготовке к теплому/холодному периоду.</t>
  </si>
  <si>
    <r>
      <t xml:space="preserve">Предоставить копии ком.предложения и техническое задание, на основании которых сформирована стоимость КП. Копию заключенного  договора с этой организацией. </t>
    </r>
    <r>
      <rPr>
        <b/>
        <sz val="11"/>
        <color rgb="FF000000"/>
        <rFont val="Calibri"/>
        <family val="2"/>
        <charset val="204"/>
      </rPr>
      <t>Пояснить как рассчитан объем 6033,87м3, если среднегодовой  норматив накопления ТКО по г.Москве для домовладений составляет  272кг = 1,45м3 на 1 проживающего (868кв и в среднем по 4-5 чел. Проживающих ???? Собственников???)</t>
    </r>
  </si>
  <si>
    <r>
      <t>Предоставить копии ком.предложения и техническое задание, на основании которых сформирована стоимость КП. Копию заключенного  договора с этой организацией. с</t>
    </r>
    <r>
      <rPr>
        <b/>
        <sz val="11"/>
        <color rgb="FF000000"/>
        <rFont val="Calibri"/>
        <family val="2"/>
        <charset val="204"/>
      </rPr>
      <t>реднегодовой  норматив накопления по г.Москве для домовладений составляет  98кг=0,46м3 КГМ на 1 проживающего</t>
    </r>
  </si>
  <si>
    <t>Выявлено превышение….Требуется представить сметный расчет.</t>
  </si>
  <si>
    <t>Сильное превышение... Требуется расчет "единичных расценок" и расшифровка по статьям затрат.</t>
  </si>
  <si>
    <t>Превышения нет….для ориентировки что делают, пусть предоставят  расчет "единичных расценок" и расшифровка по статьям затрат.</t>
  </si>
  <si>
    <r>
      <rPr>
        <sz val="11"/>
        <color rgb="FFFF0000"/>
        <rFont val="Times New Roman"/>
        <family val="1"/>
        <charset val="204"/>
      </rPr>
      <t>Задвоение</t>
    </r>
    <r>
      <rPr>
        <sz val="11"/>
        <color rgb="FF000000"/>
        <rFont val="Times New Roman"/>
        <family val="1"/>
        <charset val="204"/>
      </rPr>
      <t xml:space="preserve"> "ремонта метал. парапетной решетки" в разделе "Крыши". В п. 5.4.2 уже учтено 10м.. </t>
    </r>
    <r>
      <rPr>
        <sz val="11"/>
        <color rgb="FFFF0000"/>
        <rFont val="Times New Roman"/>
        <family val="1"/>
        <charset val="204"/>
      </rPr>
      <t xml:space="preserve">Почему разница в ед.расц. 89,54 и 321,42 руб.??? </t>
    </r>
    <r>
      <rPr>
        <sz val="11"/>
        <color theme="1"/>
        <rFont val="Times New Roman"/>
        <family val="1"/>
        <charset val="204"/>
      </rPr>
      <t>По фото зданий решеток на крыше нет, там высокий бетонный парапет.</t>
    </r>
  </si>
  <si>
    <t>Представить сметный расчет</t>
  </si>
  <si>
    <t>1.9-3101-1-2/3 Ремонт мозаичных ступеней лестниц из бетонной смеси В22,5 (М300) Ед.изм. - 100шт. Рассчитано экспертом на 55 шт. Что за объем у "УК" - непонятно. По данной позиции вроде не превышает.</t>
  </si>
  <si>
    <t>для ориентира 1.13-3101-1-5/1 Ремонт штукатурки внутренних стен по камню и бетону известковым раствором при площади до 20 м2 толщиной слоя до 20 мм</t>
  </si>
  <si>
    <t>для ориентира 1.13-5205-7-1/1 Заделка борозд глубиной 20 мм на оштукатуренной поверхности цементным раствором стен и перегородок, ширина борозд 50 мм</t>
  </si>
  <si>
    <t xml:space="preserve"> для ориентира 1.13-3101-3-11/1 Ремонт штукатурки потолков по камню и бетону цементно-известковым раствором при площади до 20 м2 толщиной слоя до 20 мм</t>
  </si>
  <si>
    <r>
      <rPr>
        <b/>
        <sz val="11"/>
        <color rgb="FF000000"/>
        <rFont val="Calibri"/>
        <family val="2"/>
        <charset val="204"/>
      </rPr>
      <t>Выявлено завышение ст-ти</t>
    </r>
    <r>
      <rPr>
        <sz val="11"/>
        <color rgb="FF000000"/>
        <rFont val="Calibri"/>
        <family val="2"/>
        <charset val="204"/>
      </rPr>
      <t>. Представить сметный расчет</t>
    </r>
  </si>
  <si>
    <r>
      <rPr>
        <b/>
        <sz val="11"/>
        <color rgb="FF000000"/>
        <rFont val="Calibri"/>
        <family val="2"/>
        <charset val="204"/>
      </rPr>
      <t>Нет превышения ст-ти у "УК"</t>
    </r>
    <r>
      <rPr>
        <sz val="11"/>
        <color rgb="FF000000"/>
        <rFont val="Calibri"/>
        <family val="2"/>
        <charset val="204"/>
      </rPr>
      <t>. Проверка на основниии стоимостных нормативов СН-2012.</t>
    </r>
  </si>
  <si>
    <t>1.15-2203-1-1/1 Консервация поливочной системы</t>
  </si>
  <si>
    <t>1.15-2203-2-1/1 Расконсервация и подготовка поливочной системы к работе</t>
  </si>
  <si>
    <t>???? По ед. изм.объема,а так не превышает…..Требуется расчет "единичных расценок" и расшифровка по статьям затрат.</t>
  </si>
  <si>
    <t>Рекомендовано по анализу цен контрактов на 2021 год для заказчиков г. Москвы, обслуживание 1 лампы сигналы составляет 2,3 руб. с НДС/1 раз в год на 1 ламп-сигнал</t>
  </si>
  <si>
    <t>Представить расчет</t>
  </si>
  <si>
    <t>не превышает, но взят прим.норматив…. Требуется расчет "единичных расценок" и расшифровка по статьям затрат.</t>
  </si>
  <si>
    <t>прим. 1.9-1101-1-1/1" Уход за гранитными и мраморными ступенями и площадками, подметание". В данном нормативе не учтена вода</t>
  </si>
  <si>
    <t>для ориентира ср.зарплата 30 тыс.руб./мес + 30,2% отчисления с ФОТ + 20% НР + 5% Прибыль (по нашей эксп.орг-ии при проверке больше не пропускаем НР не более 20%, прибыль не более 5%) + 20%НДС:</t>
  </si>
  <si>
    <t>ОК</t>
  </si>
  <si>
    <t xml:space="preserve">менее МРОТ на 2021 г. 20589руб./мес, а в 2022 г. будет 21371руб. 
</t>
  </si>
  <si>
    <t>для ориентира ФОТмин. И с теми же отчислениями и НР, прибылью и НДС: 20589х1,302*1,2*1,05*1,2</t>
  </si>
  <si>
    <t>размер ковров</t>
  </si>
  <si>
    <t>периодичность замены в летний и зимний период</t>
  </si>
  <si>
    <t>необходимо узнать:</t>
  </si>
  <si>
    <t>узнать про ЭЦП охранника без оружия</t>
  </si>
  <si>
    <t>??? 5 постов= Консъерж - охранник в одном лице в 4 подъездах + 1 охранник в паркинге??? Итого 5 постов или 5 человек????</t>
  </si>
  <si>
    <t>Версия 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</si>
</sst>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00000"/>
    <numFmt numFmtId="166" formatCode="0.000"/>
    <numFmt numFmtId="167" formatCode="0.0000"/>
    <numFmt numFmtId="168" formatCode="_-* #,##0.00_р_._-;\-* #,##0.00_р_._-;_-* &quot;-&quot;??_р_._-;_-@"/>
  </numFmts>
  <fonts count="56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1"/>
      <color rgb="FF333333"/>
      <name val="Times New Roman"/>
      <family val="1"/>
    </font>
    <font>
      <sz val="11"/>
      <color rgb="FF0066CC"/>
      <name val="Times New Roman"/>
      <family val="1"/>
    </font>
    <font>
      <sz val="11"/>
      <color rgb="FFFF0000"/>
      <name val="Times New Roman"/>
      <family val="1"/>
    </font>
    <font>
      <sz val="11"/>
      <color rgb="FF008000"/>
      <name val="Times New Roman"/>
      <family val="1"/>
    </font>
    <font>
      <sz val="9"/>
      <color rgb="FF000000"/>
      <name val="Times New Roman"/>
      <family val="1"/>
    </font>
    <font>
      <sz val="9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9933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80"/>
      <name val="Times New Roman"/>
      <family val="1"/>
    </font>
    <font>
      <b/>
      <sz val="9"/>
      <color rgb="FFFFFFFF"/>
      <name val="Times New Roman"/>
      <family val="1"/>
    </font>
    <font>
      <sz val="9"/>
      <name val="Times New Roman"/>
      <family val="1"/>
    </font>
    <font>
      <b/>
      <u/>
      <sz val="9"/>
      <color rgb="FF993300"/>
      <name val="Times New Roman"/>
      <family val="1"/>
    </font>
    <font>
      <b/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b/>
      <i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66CC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1"/>
      <color theme="4" tint="-0.24997711111789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color rgb="FF000000"/>
      <name val="Times New Roman"/>
      <family val="1"/>
      <charset val="204"/>
    </font>
    <font>
      <b/>
      <strike/>
      <sz val="11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66CC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1"/>
      <color theme="1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6E3B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E5DFEC"/>
      </patternFill>
    </fill>
    <fill>
      <patternFill patternType="solid">
        <fgColor theme="8" tint="0.79998168889431442"/>
        <bgColor rgb="FFE5B8B7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5" tint="0.59999389629810485"/>
        <bgColor rgb="FFE5B8B7"/>
      </patternFill>
    </fill>
    <fill>
      <patternFill patternType="solid">
        <fgColor theme="7" tint="0.39997558519241921"/>
        <bgColor rgb="FFE5DFE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7" tint="0.59999389629810485"/>
        <bgColor rgb="FFE5DFEC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FF00"/>
        <bgColor rgb="FFD6E3BC"/>
      </patternFill>
    </fill>
    <fill>
      <patternFill patternType="solid">
        <fgColor rgb="FF92D050"/>
        <bgColor rgb="FFE5B8B7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D6E3BC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5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center" vertical="center" wrapText="1"/>
    </xf>
    <xf numFmtId="168" fontId="13" fillId="6" borderId="13" xfId="0" applyNumberFormat="1" applyFont="1" applyFill="1" applyBorder="1" applyAlignment="1">
      <alignment horizontal="center" vertical="center" wrapText="1"/>
    </xf>
    <xf numFmtId="168" fontId="13" fillId="6" borderId="12" xfId="0" applyNumberFormat="1" applyFont="1" applyFill="1" applyBorder="1" applyAlignment="1">
      <alignment horizontal="center" vertical="center" wrapText="1"/>
    </xf>
    <xf numFmtId="168" fontId="13" fillId="6" borderId="14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168" fontId="13" fillId="0" borderId="16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168" fontId="14" fillId="0" borderId="18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168" fontId="13" fillId="0" borderId="0" xfId="0" applyNumberFormat="1" applyFont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/>
    <xf numFmtId="168" fontId="13" fillId="0" borderId="2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168" fontId="13" fillId="6" borderId="22" xfId="0" applyNumberFormat="1" applyFont="1" applyFill="1" applyBorder="1" applyAlignment="1">
      <alignment horizontal="center" vertical="center" wrapText="1"/>
    </xf>
    <xf numFmtId="4" fontId="13" fillId="6" borderId="22" xfId="0" applyNumberFormat="1" applyFont="1" applyFill="1" applyBorder="1" applyAlignment="1">
      <alignment horizontal="center" vertical="center" wrapText="1"/>
    </xf>
    <xf numFmtId="168" fontId="13" fillId="6" borderId="23" xfId="0" applyNumberFormat="1" applyFont="1" applyFill="1" applyBorder="1" applyAlignment="1">
      <alignment horizontal="center" vertical="center" wrapText="1"/>
    </xf>
    <xf numFmtId="4" fontId="13" fillId="6" borderId="23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Alignment="1">
      <alignment horizontal="left" vertical="center" wrapText="1"/>
    </xf>
    <xf numFmtId="168" fontId="10" fillId="0" borderId="0" xfId="0" applyNumberFormat="1" applyFont="1" applyAlignment="1"/>
    <xf numFmtId="168" fontId="15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8" fontId="16" fillId="0" borderId="0" xfId="0" applyNumberFormat="1" applyFont="1" applyAlignment="1">
      <alignment horizontal="center" vertical="center" wrapText="1"/>
    </xf>
    <xf numFmtId="4" fontId="13" fillId="6" borderId="12" xfId="0" applyNumberFormat="1" applyFont="1" applyFill="1" applyBorder="1" applyAlignment="1">
      <alignment horizontal="center" vertical="center" wrapText="1"/>
    </xf>
    <xf numFmtId="168" fontId="18" fillId="0" borderId="0" xfId="0" applyNumberFormat="1" applyFont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168" fontId="9" fillId="0" borderId="18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/>
    <xf numFmtId="0" fontId="19" fillId="0" borderId="0" xfId="0" applyFont="1" applyAlignment="1">
      <alignment horizontal="center" vertical="center"/>
    </xf>
    <xf numFmtId="0" fontId="0" fillId="0" borderId="0" xfId="0" applyFont="1"/>
    <xf numFmtId="0" fontId="20" fillId="0" borderId="0" xfId="0" applyFont="1" applyAlignment="1">
      <alignment shrinkToFit="1"/>
    </xf>
    <xf numFmtId="0" fontId="0" fillId="0" borderId="0" xfId="0" applyFont="1" applyAlignment="1">
      <alignment wrapText="1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1" fillId="0" borderId="16" xfId="0" applyNumberFormat="1" applyFont="1" applyBorder="1" applyAlignment="1">
      <alignment horizontal="center" wrapText="1"/>
    </xf>
    <xf numFmtId="16" fontId="11" fillId="0" borderId="26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wrapText="1"/>
    </xf>
    <xf numFmtId="0" fontId="0" fillId="0" borderId="26" xfId="0" applyFont="1" applyBorder="1" applyAlignment="1">
      <alignment wrapText="1"/>
    </xf>
    <xf numFmtId="4" fontId="11" fillId="0" borderId="28" xfId="0" applyNumberFormat="1" applyFont="1" applyBorder="1" applyAlignment="1">
      <alignment horizontal="center" wrapText="1"/>
    </xf>
    <xf numFmtId="4" fontId="11" fillId="0" borderId="26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18" xfId="0" applyFont="1" applyBorder="1" applyAlignment="1">
      <alignment horizontal="center" wrapText="1"/>
    </xf>
    <xf numFmtId="4" fontId="22" fillId="0" borderId="17" xfId="0" applyNumberFormat="1" applyFont="1" applyBorder="1" applyAlignment="1">
      <alignment horizontal="center" wrapText="1"/>
    </xf>
    <xf numFmtId="4" fontId="22" fillId="0" borderId="18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22" fillId="0" borderId="29" xfId="0" applyFont="1" applyBorder="1" applyAlignment="1">
      <alignment horizontal="center" wrapText="1"/>
    </xf>
    <xf numFmtId="4" fontId="22" fillId="0" borderId="30" xfId="0" applyNumberFormat="1" applyFont="1" applyBorder="1" applyAlignment="1">
      <alignment horizontal="center" wrapText="1"/>
    </xf>
    <xf numFmtId="4" fontId="22" fillId="0" borderId="29" xfId="0" applyNumberFormat="1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wrapText="1"/>
    </xf>
    <xf numFmtId="0" fontId="22" fillId="0" borderId="31" xfId="0" applyFont="1" applyBorder="1" applyAlignment="1">
      <alignment horizontal="center" wrapText="1"/>
    </xf>
    <xf numFmtId="4" fontId="22" fillId="0" borderId="33" xfId="0" applyNumberFormat="1" applyFont="1" applyBorder="1" applyAlignment="1">
      <alignment horizontal="center" wrapText="1"/>
    </xf>
    <xf numFmtId="4" fontId="22" fillId="0" borderId="31" xfId="0" applyNumberFormat="1" applyFont="1" applyBorder="1" applyAlignment="1">
      <alignment horizontal="center" wrapText="1"/>
    </xf>
    <xf numFmtId="0" fontId="22" fillId="0" borderId="29" xfId="0" applyFont="1" applyBorder="1" applyAlignment="1">
      <alignment horizontal="center" vertical="center" wrapText="1"/>
    </xf>
    <xf numFmtId="4" fontId="22" fillId="0" borderId="30" xfId="0" applyNumberFormat="1" applyFont="1" applyBorder="1" applyAlignment="1">
      <alignment horizontal="center" vertical="center" wrapText="1"/>
    </xf>
    <xf numFmtId="4" fontId="22" fillId="0" borderId="29" xfId="0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4" fontId="22" fillId="0" borderId="33" xfId="0" applyNumberFormat="1" applyFont="1" applyBorder="1" applyAlignment="1">
      <alignment horizontal="center" vertical="center" wrapText="1"/>
    </xf>
    <xf numFmtId="4" fontId="22" fillId="0" borderId="31" xfId="0" applyNumberFormat="1" applyFont="1" applyBorder="1" applyAlignment="1">
      <alignment horizontal="center" vertical="center" wrapText="1"/>
    </xf>
    <xf numFmtId="0" fontId="21" fillId="0" borderId="28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wrapText="1"/>
    </xf>
    <xf numFmtId="0" fontId="22" fillId="0" borderId="26" xfId="0" applyFont="1" applyBorder="1" applyAlignment="1">
      <alignment horizontal="center" wrapText="1"/>
    </xf>
    <xf numFmtId="4" fontId="22" fillId="0" borderId="28" xfId="0" applyNumberFormat="1" applyFont="1" applyBorder="1" applyAlignment="1">
      <alignment horizontal="center" wrapText="1"/>
    </xf>
    <xf numFmtId="4" fontId="22" fillId="0" borderId="26" xfId="0" applyNumberFormat="1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1" fillId="0" borderId="26" xfId="0" applyFont="1" applyBorder="1" applyAlignment="1">
      <alignment horizontal="center" vertical="center" wrapText="1"/>
    </xf>
    <xf numFmtId="16" fontId="11" fillId="0" borderId="20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wrapText="1"/>
    </xf>
    <xf numFmtId="0" fontId="0" fillId="0" borderId="26" xfId="0" applyFont="1" applyBorder="1" applyAlignment="1"/>
    <xf numFmtId="4" fontId="11" fillId="0" borderId="19" xfId="0" applyNumberFormat="1" applyFont="1" applyBorder="1" applyAlignment="1">
      <alignment horizontal="center" wrapText="1"/>
    </xf>
    <xf numFmtId="4" fontId="11" fillId="0" borderId="20" xfId="0" applyNumberFormat="1" applyFont="1" applyBorder="1" applyAlignment="1">
      <alignment horizontal="center" wrapText="1"/>
    </xf>
    <xf numFmtId="14" fontId="22" fillId="0" borderId="29" xfId="0" applyNumberFormat="1" applyFont="1" applyBorder="1" applyAlignment="1">
      <alignment horizontal="center" vertical="center" wrapText="1"/>
    </xf>
    <xf numFmtId="4" fontId="22" fillId="0" borderId="34" xfId="0" applyNumberFormat="1" applyFont="1" applyBorder="1" applyAlignment="1">
      <alignment horizontal="center" vertical="center" wrapText="1"/>
    </xf>
    <xf numFmtId="4" fontId="22" fillId="0" borderId="35" xfId="0" applyNumberFormat="1" applyFont="1" applyBorder="1" applyAlignment="1">
      <alignment horizontal="center" vertical="center" wrapText="1"/>
    </xf>
    <xf numFmtId="14" fontId="22" fillId="0" borderId="31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4" fontId="22" fillId="0" borderId="37" xfId="0" applyNumberFormat="1" applyFont="1" applyBorder="1" applyAlignment="1">
      <alignment horizontal="center" vertical="center" wrapText="1"/>
    </xf>
    <xf numFmtId="0" fontId="22" fillId="0" borderId="38" xfId="0" applyFont="1" applyBorder="1" applyAlignment="1">
      <alignment wrapText="1"/>
    </xf>
    <xf numFmtId="0" fontId="22" fillId="0" borderId="37" xfId="0" applyFont="1" applyBorder="1" applyAlignment="1">
      <alignment horizontal="center" wrapText="1"/>
    </xf>
    <xf numFmtId="4" fontId="22" fillId="0" borderId="39" xfId="0" applyNumberFormat="1" applyFont="1" applyBorder="1" applyAlignment="1">
      <alignment horizontal="center" vertical="center" wrapText="1"/>
    </xf>
    <xf numFmtId="4" fontId="22" fillId="0" borderId="37" xfId="0" applyNumberFormat="1" applyFont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left" vertical="center" shrinkToFit="1"/>
    </xf>
    <xf numFmtId="0" fontId="23" fillId="5" borderId="9" xfId="0" applyFont="1" applyFill="1" applyBorder="1" applyAlignment="1">
      <alignment horizontal="left" vertical="center" wrapText="1"/>
    </xf>
    <xf numFmtId="4" fontId="22" fillId="5" borderId="40" xfId="0" applyNumberFormat="1" applyFont="1" applyFill="1" applyBorder="1" applyAlignment="1">
      <alignment horizontal="center"/>
    </xf>
    <xf numFmtId="49" fontId="22" fillId="0" borderId="37" xfId="0" applyNumberFormat="1" applyFont="1" applyBorder="1" applyAlignment="1">
      <alignment horizontal="center" vertical="center" wrapText="1"/>
    </xf>
    <xf numFmtId="0" fontId="23" fillId="0" borderId="38" xfId="0" applyFont="1" applyBorder="1" applyAlignment="1">
      <alignment wrapText="1"/>
    </xf>
    <xf numFmtId="4" fontId="22" fillId="0" borderId="37" xfId="0" applyNumberFormat="1" applyFont="1" applyBorder="1" applyAlignment="1">
      <alignment horizontal="center" wrapText="1"/>
    </xf>
    <xf numFmtId="49" fontId="22" fillId="0" borderId="31" xfId="0" applyNumberFormat="1" applyFont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left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1" fillId="0" borderId="28" xfId="0" applyFont="1" applyBorder="1" applyAlignment="1">
      <alignment shrinkToFit="1"/>
    </xf>
    <xf numFmtId="0" fontId="21" fillId="0" borderId="26" xfId="0" applyFont="1" applyBorder="1" applyAlignment="1">
      <alignment shrinkToFit="1"/>
    </xf>
    <xf numFmtId="4" fontId="0" fillId="0" borderId="0" xfId="0" applyNumberFormat="1" applyFont="1" applyAlignment="1"/>
    <xf numFmtId="4" fontId="22" fillId="0" borderId="39" xfId="0" applyNumberFormat="1" applyFont="1" applyBorder="1" applyAlignment="1">
      <alignment horizontal="center" wrapText="1"/>
    </xf>
    <xf numFmtId="14" fontId="22" fillId="0" borderId="41" xfId="0" applyNumberFormat="1" applyFont="1" applyBorder="1" applyAlignment="1">
      <alignment horizontal="center" vertical="center" wrapText="1"/>
    </xf>
    <xf numFmtId="0" fontId="22" fillId="0" borderId="42" xfId="0" applyFont="1" applyBorder="1" applyAlignment="1">
      <alignment wrapText="1"/>
    </xf>
    <xf numFmtId="0" fontId="22" fillId="0" borderId="41" xfId="0" applyFont="1" applyBorder="1" applyAlignment="1">
      <alignment horizontal="center" wrapText="1"/>
    </xf>
    <xf numFmtId="4" fontId="22" fillId="0" borderId="43" xfId="0" applyNumberFormat="1" applyFont="1" applyBorder="1" applyAlignment="1">
      <alignment horizontal="center" wrapText="1"/>
    </xf>
    <xf numFmtId="4" fontId="22" fillId="0" borderId="41" xfId="0" applyNumberFormat="1" applyFont="1" applyBorder="1" applyAlignment="1">
      <alignment horizontal="center" wrapText="1"/>
    </xf>
    <xf numFmtId="0" fontId="11" fillId="0" borderId="26" xfId="0" applyFont="1" applyBorder="1" applyAlignment="1">
      <alignment horizontal="center" vertical="center" wrapText="1"/>
    </xf>
    <xf numFmtId="16" fontId="22" fillId="0" borderId="29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18" xfId="0" applyFont="1" applyBorder="1" applyAlignment="1">
      <alignment wrapText="1"/>
    </xf>
    <xf numFmtId="4" fontId="2" fillId="5" borderId="26" xfId="0" applyNumberFormat="1" applyFont="1" applyFill="1" applyBorder="1" applyAlignment="1">
      <alignment horizontal="center" vertical="center"/>
    </xf>
    <xf numFmtId="16" fontId="22" fillId="0" borderId="35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wrapText="1"/>
    </xf>
    <xf numFmtId="0" fontId="22" fillId="0" borderId="35" xfId="0" applyFont="1" applyBorder="1" applyAlignment="1">
      <alignment horizontal="center" wrapText="1"/>
    </xf>
    <xf numFmtId="4" fontId="22" fillId="0" borderId="34" xfId="0" applyNumberFormat="1" applyFont="1" applyBorder="1" applyAlignment="1">
      <alignment horizontal="center" wrapText="1"/>
    </xf>
    <xf numFmtId="0" fontId="23" fillId="0" borderId="38" xfId="0" applyFont="1" applyBorder="1" applyAlignment="1">
      <alignment horizontal="left" vertical="center" wrapText="1"/>
    </xf>
    <xf numFmtId="2" fontId="22" fillId="0" borderId="37" xfId="0" applyNumberFormat="1" applyFont="1" applyBorder="1" applyAlignment="1">
      <alignment horizontal="center" wrapText="1"/>
    </xf>
    <xf numFmtId="0" fontId="23" fillId="0" borderId="38" xfId="0" applyFont="1" applyBorder="1" applyAlignment="1">
      <alignment horizontal="left" vertical="center" shrinkToFit="1"/>
    </xf>
    <xf numFmtId="49" fontId="22" fillId="0" borderId="29" xfId="0" applyNumberFormat="1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wrapText="1"/>
    </xf>
    <xf numFmtId="49" fontId="22" fillId="0" borderId="18" xfId="0" applyNumberFormat="1" applyFont="1" applyBorder="1" applyAlignment="1">
      <alignment horizontal="center" vertical="center" wrapText="1"/>
    </xf>
    <xf numFmtId="2" fontId="23" fillId="0" borderId="32" xfId="0" applyNumberFormat="1" applyFont="1" applyBorder="1" applyAlignment="1">
      <alignment wrapText="1"/>
    </xf>
    <xf numFmtId="2" fontId="22" fillId="0" borderId="31" xfId="0" applyNumberFormat="1" applyFont="1" applyBorder="1" applyAlignment="1">
      <alignment horizontal="center" wrapText="1"/>
    </xf>
    <xf numFmtId="2" fontId="0" fillId="0" borderId="0" xfId="0" applyNumberFormat="1" applyFont="1" applyAlignment="1"/>
    <xf numFmtId="49" fontId="22" fillId="0" borderId="20" xfId="0" applyNumberFormat="1" applyFont="1" applyBorder="1" applyAlignment="1">
      <alignment horizontal="center" vertical="center" wrapText="1"/>
    </xf>
    <xf numFmtId="0" fontId="23" fillId="0" borderId="45" xfId="0" applyFont="1" applyBorder="1" applyAlignment="1">
      <alignment wrapText="1"/>
    </xf>
    <xf numFmtId="4" fontId="22" fillId="0" borderId="19" xfId="0" applyNumberFormat="1" applyFont="1" applyBorder="1" applyAlignment="1">
      <alignment horizontal="center" wrapText="1"/>
    </xf>
    <xf numFmtId="4" fontId="22" fillId="0" borderId="20" xfId="0" applyNumberFormat="1" applyFont="1" applyBorder="1" applyAlignment="1">
      <alignment horizontal="center" wrapText="1"/>
    </xf>
    <xf numFmtId="49" fontId="21" fillId="0" borderId="20" xfId="0" applyNumberFormat="1" applyFont="1" applyBorder="1" applyAlignment="1">
      <alignment horizontal="center" vertical="center" wrapText="1"/>
    </xf>
    <xf numFmtId="0" fontId="21" fillId="0" borderId="45" xfId="0" applyFont="1" applyBorder="1" applyAlignment="1">
      <alignment wrapText="1"/>
    </xf>
    <xf numFmtId="0" fontId="21" fillId="0" borderId="26" xfId="0" applyFont="1" applyBorder="1" applyAlignment="1">
      <alignment horizontal="center" wrapText="1"/>
    </xf>
    <xf numFmtId="4" fontId="21" fillId="0" borderId="19" xfId="0" applyNumberFormat="1" applyFont="1" applyBorder="1" applyAlignment="1">
      <alignment horizont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wrapText="1"/>
    </xf>
    <xf numFmtId="0" fontId="25" fillId="0" borderId="26" xfId="0" applyFont="1" applyBorder="1" applyAlignment="1">
      <alignment wrapText="1"/>
    </xf>
    <xf numFmtId="4" fontId="1" fillId="0" borderId="28" xfId="0" applyNumberFormat="1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0" fontId="32" fillId="4" borderId="3" xfId="0" applyFont="1" applyFill="1" applyBorder="1" applyAlignment="1">
      <alignment horizontal="left" vertical="center" shrinkToFit="1"/>
    </xf>
    <xf numFmtId="0" fontId="33" fillId="0" borderId="0" xfId="0" applyFont="1" applyAlignment="1">
      <alignment wrapText="1"/>
    </xf>
    <xf numFmtId="0" fontId="30" fillId="0" borderId="0" xfId="0" applyFont="1" applyAlignment="1"/>
    <xf numFmtId="0" fontId="32" fillId="4" borderId="3" xfId="0" applyFont="1" applyFill="1" applyBorder="1" applyAlignment="1">
      <alignment horizontal="left" vertical="center" wrapText="1"/>
    </xf>
    <xf numFmtId="0" fontId="33" fillId="0" borderId="0" xfId="0" applyFont="1" applyAlignment="1"/>
    <xf numFmtId="0" fontId="35" fillId="2" borderId="1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2" fillId="5" borderId="3" xfId="0" applyFont="1" applyFill="1" applyBorder="1" applyAlignment="1">
      <alignment horizontal="left" vertical="center" shrinkToFit="1"/>
    </xf>
    <xf numFmtId="0" fontId="32" fillId="5" borderId="3" xfId="0" applyFont="1" applyFill="1" applyBorder="1" applyAlignment="1">
      <alignment horizontal="left" vertical="center" wrapText="1"/>
    </xf>
    <xf numFmtId="0" fontId="31" fillId="5" borderId="3" xfId="0" applyFont="1" applyFill="1" applyBorder="1" applyAlignment="1">
      <alignment horizontal="left" vertical="center" wrapText="1"/>
    </xf>
    <xf numFmtId="0" fontId="37" fillId="5" borderId="3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/>
    <xf numFmtId="0" fontId="37" fillId="5" borderId="3" xfId="0" applyFont="1" applyFill="1" applyBorder="1" applyAlignment="1"/>
    <xf numFmtId="0" fontId="36" fillId="4" borderId="3" xfId="0" applyFont="1" applyFill="1" applyBorder="1" applyAlignment="1">
      <alignment horizontal="left" vertical="center" wrapText="1"/>
    </xf>
    <xf numFmtId="0" fontId="35" fillId="5" borderId="3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 wrapText="1"/>
    </xf>
    <xf numFmtId="0" fontId="31" fillId="5" borderId="3" xfId="0" applyFont="1" applyFill="1" applyBorder="1" applyAlignment="1">
      <alignment horizontal="left" vertical="center" shrinkToFit="1"/>
    </xf>
    <xf numFmtId="0" fontId="30" fillId="4" borderId="8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vertical="center" wrapText="1"/>
    </xf>
    <xf numFmtId="0" fontId="35" fillId="0" borderId="3" xfId="0" applyFont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10" borderId="0" xfId="0" applyFont="1" applyFill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shrinkToFit="1"/>
    </xf>
    <xf numFmtId="0" fontId="30" fillId="3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shrinkToFit="1"/>
    </xf>
    <xf numFmtId="0" fontId="30" fillId="4" borderId="3" xfId="0" applyFont="1" applyFill="1" applyBorder="1" applyAlignment="1">
      <alignment horizontal="center" vertical="center" shrinkToFit="1"/>
    </xf>
    <xf numFmtId="0" fontId="30" fillId="3" borderId="3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wrapText="1"/>
    </xf>
    <xf numFmtId="4" fontId="35" fillId="4" borderId="3" xfId="0" applyNumberFormat="1" applyFont="1" applyFill="1" applyBorder="1" applyAlignment="1">
      <alignment horizontal="center" vertical="center"/>
    </xf>
    <xf numFmtId="0" fontId="35" fillId="18" borderId="3" xfId="0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wrapText="1"/>
    </xf>
    <xf numFmtId="0" fontId="33" fillId="0" borderId="48" xfId="0" applyFont="1" applyBorder="1" applyAlignment="1">
      <alignment horizontal="center" vertical="center" wrapText="1"/>
    </xf>
    <xf numFmtId="4" fontId="27" fillId="11" borderId="46" xfId="0" applyNumberFormat="1" applyFont="1" applyFill="1" applyBorder="1" applyAlignment="1">
      <alignment horizontal="center" vertical="center" wrapText="1" shrinkToFit="1"/>
    </xf>
    <xf numFmtId="4" fontId="0" fillId="11" borderId="46" xfId="0" applyNumberFormat="1" applyFont="1" applyFill="1" applyBorder="1" applyAlignment="1">
      <alignment horizontal="center" vertical="center" wrapText="1" shrinkToFit="1"/>
    </xf>
    <xf numFmtId="0" fontId="41" fillId="4" borderId="3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4" fontId="2" fillId="3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35" fillId="4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 shrinkToFit="1"/>
    </xf>
    <xf numFmtId="4" fontId="42" fillId="4" borderId="3" xfId="0" applyNumberFormat="1" applyFont="1" applyFill="1" applyBorder="1" applyAlignment="1">
      <alignment horizontal="center" vertical="center" wrapText="1"/>
    </xf>
    <xf numFmtId="0" fontId="43" fillId="4" borderId="3" xfId="0" applyFont="1" applyFill="1" applyBorder="1" applyAlignment="1">
      <alignment horizontal="left" vertical="center" wrapText="1"/>
    </xf>
    <xf numFmtId="0" fontId="42" fillId="4" borderId="7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 shrinkToFit="1"/>
    </xf>
    <xf numFmtId="0" fontId="42" fillId="4" borderId="3" xfId="0" applyFont="1" applyFill="1" applyBorder="1" applyAlignment="1">
      <alignment horizontal="center" vertical="center" wrapText="1"/>
    </xf>
    <xf numFmtId="4" fontId="42" fillId="4" borderId="3" xfId="0" applyNumberFormat="1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left" vertical="center" wrapText="1" shrinkToFit="1"/>
    </xf>
    <xf numFmtId="4" fontId="2" fillId="11" borderId="46" xfId="0" applyNumberFormat="1" applyFont="1" applyFill="1" applyBorder="1" applyAlignment="1">
      <alignment horizontal="center" vertical="center" wrapText="1" shrinkToFit="1"/>
    </xf>
    <xf numFmtId="4" fontId="2" fillId="17" borderId="46" xfId="0" applyNumberFormat="1" applyFont="1" applyFill="1" applyBorder="1" applyAlignment="1">
      <alignment horizontal="center" vertical="center" wrapText="1"/>
    </xf>
    <xf numFmtId="4" fontId="36" fillId="15" borderId="46" xfId="0" applyNumberFormat="1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49" fontId="2" fillId="19" borderId="3" xfId="0" applyNumberFormat="1" applyFont="1" applyFill="1" applyBorder="1" applyAlignment="1">
      <alignment horizontal="center" vertical="center"/>
    </xf>
    <xf numFmtId="0" fontId="31" fillId="19" borderId="3" xfId="0" applyFont="1" applyFill="1" applyBorder="1" applyAlignment="1">
      <alignment horizontal="left" vertical="center" wrapText="1"/>
    </xf>
    <xf numFmtId="0" fontId="2" fillId="19" borderId="3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 wrapText="1"/>
    </xf>
    <xf numFmtId="0" fontId="30" fillId="19" borderId="3" xfId="0" applyFont="1" applyFill="1" applyBorder="1" applyAlignment="1">
      <alignment horizontal="center" vertical="center" wrapText="1"/>
    </xf>
    <xf numFmtId="4" fontId="2" fillId="19" borderId="3" xfId="0" applyNumberFormat="1" applyFont="1" applyFill="1" applyBorder="1" applyAlignment="1">
      <alignment horizontal="center" vertical="center"/>
    </xf>
    <xf numFmtId="4" fontId="1" fillId="19" borderId="3" xfId="0" applyNumberFormat="1" applyFont="1" applyFill="1" applyBorder="1" applyAlignment="1">
      <alignment horizontal="center" vertical="center" wrapText="1"/>
    </xf>
    <xf numFmtId="0" fontId="31" fillId="19" borderId="9" xfId="0" applyFont="1" applyFill="1" applyBorder="1" applyAlignment="1">
      <alignment horizontal="left" vertical="center" wrapText="1"/>
    </xf>
    <xf numFmtId="4" fontId="35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30" fillId="4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9" fontId="41" fillId="19" borderId="3" xfId="0" applyNumberFormat="1" applyFont="1" applyFill="1" applyBorder="1" applyAlignment="1">
      <alignment horizontal="center" vertical="center"/>
    </xf>
    <xf numFmtId="0" fontId="45" fillId="19" borderId="3" xfId="0" applyFont="1" applyFill="1" applyBorder="1" applyAlignment="1">
      <alignment horizontal="left" vertical="center" wrapText="1"/>
    </xf>
    <xf numFmtId="0" fontId="41" fillId="19" borderId="3" xfId="0" applyFont="1" applyFill="1" applyBorder="1" applyAlignment="1">
      <alignment horizontal="center" vertical="center"/>
    </xf>
    <xf numFmtId="0" fontId="41" fillId="19" borderId="3" xfId="0" applyFont="1" applyFill="1" applyBorder="1" applyAlignment="1">
      <alignment horizontal="center" vertical="center" wrapText="1"/>
    </xf>
    <xf numFmtId="4" fontId="41" fillId="19" borderId="3" xfId="0" applyNumberFormat="1" applyFont="1" applyFill="1" applyBorder="1" applyAlignment="1">
      <alignment horizontal="center" vertical="center"/>
    </xf>
    <xf numFmtId="4" fontId="45" fillId="19" borderId="3" xfId="0" applyNumberFormat="1" applyFont="1" applyFill="1" applyBorder="1" applyAlignment="1">
      <alignment horizontal="center" vertical="center" wrapText="1"/>
    </xf>
    <xf numFmtId="49" fontId="46" fillId="19" borderId="3" xfId="0" applyNumberFormat="1" applyFont="1" applyFill="1" applyBorder="1" applyAlignment="1">
      <alignment horizontal="center" vertical="center"/>
    </xf>
    <xf numFmtId="0" fontId="47" fillId="19" borderId="3" xfId="0" applyFont="1" applyFill="1" applyBorder="1" applyAlignment="1">
      <alignment horizontal="left" vertical="center" wrapText="1"/>
    </xf>
    <xf numFmtId="0" fontId="46" fillId="19" borderId="3" xfId="0" applyFont="1" applyFill="1" applyBorder="1" applyAlignment="1">
      <alignment horizontal="center" vertical="center"/>
    </xf>
    <xf numFmtId="0" fontId="46" fillId="19" borderId="3" xfId="0" applyFont="1" applyFill="1" applyBorder="1" applyAlignment="1">
      <alignment horizontal="center" vertical="center" wrapText="1"/>
    </xf>
    <xf numFmtId="4" fontId="46" fillId="19" borderId="3" xfId="0" applyNumberFormat="1" applyFont="1" applyFill="1" applyBorder="1" applyAlignment="1">
      <alignment horizontal="center" vertical="center"/>
    </xf>
    <xf numFmtId="4" fontId="48" fillId="19" borderId="3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4" fontId="2" fillId="10" borderId="3" xfId="0" applyNumberFormat="1" applyFont="1" applyFill="1" applyBorder="1" applyAlignment="1">
      <alignment horizontal="center" vertical="center"/>
    </xf>
    <xf numFmtId="4" fontId="35" fillId="10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horizontal="left" vertical="center" wrapText="1"/>
    </xf>
    <xf numFmtId="0" fontId="30" fillId="10" borderId="46" xfId="0" applyFont="1" applyFill="1" applyBorder="1" applyAlignment="1">
      <alignment horizontal="left" vertical="center" wrapText="1"/>
    </xf>
    <xf numFmtId="49" fontId="2" fillId="22" borderId="9" xfId="0" applyNumberFormat="1" applyFont="1" applyFill="1" applyBorder="1" applyAlignment="1">
      <alignment horizontal="center" vertical="center"/>
    </xf>
    <xf numFmtId="0" fontId="32" fillId="18" borderId="3" xfId="0" applyFont="1" applyFill="1" applyBorder="1" applyAlignment="1">
      <alignment horizontal="left" vertical="center" wrapText="1"/>
    </xf>
    <xf numFmtId="49" fontId="2" fillId="23" borderId="3" xfId="0" applyNumberFormat="1" applyFont="1" applyFill="1" applyBorder="1" applyAlignment="1">
      <alignment horizontal="center" vertical="center"/>
    </xf>
    <xf numFmtId="0" fontId="31" fillId="23" borderId="3" xfId="0" applyFont="1" applyFill="1" applyBorder="1" applyAlignment="1">
      <alignment horizontal="left" vertical="center" wrapText="1"/>
    </xf>
    <xf numFmtId="0" fontId="2" fillId="23" borderId="3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 wrapText="1"/>
    </xf>
    <xf numFmtId="0" fontId="30" fillId="23" borderId="3" xfId="0" applyFont="1" applyFill="1" applyBorder="1" applyAlignment="1">
      <alignment horizontal="center" vertical="center" wrapText="1"/>
    </xf>
    <xf numFmtId="4" fontId="2" fillId="23" borderId="3" xfId="0" applyNumberFormat="1" applyFont="1" applyFill="1" applyBorder="1" applyAlignment="1">
      <alignment horizontal="center" vertical="center"/>
    </xf>
    <xf numFmtId="4" fontId="1" fillId="23" borderId="3" xfId="0" applyNumberFormat="1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 wrapText="1"/>
    </xf>
    <xf numFmtId="0" fontId="30" fillId="22" borderId="3" xfId="0" applyFont="1" applyFill="1" applyBorder="1" applyAlignment="1">
      <alignment horizontal="center" vertical="center" wrapText="1"/>
    </xf>
    <xf numFmtId="4" fontId="2" fillId="22" borderId="3" xfId="0" applyNumberFormat="1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 shrinkToFit="1"/>
    </xf>
    <xf numFmtId="4" fontId="45" fillId="22" borderId="3" xfId="0" applyNumberFormat="1" applyFont="1" applyFill="1" applyBorder="1" applyAlignment="1">
      <alignment horizontal="center" vertical="center" wrapText="1"/>
    </xf>
    <xf numFmtId="49" fontId="2" fillId="19" borderId="10" xfId="0" applyNumberFormat="1" applyFont="1" applyFill="1" applyBorder="1" applyAlignment="1">
      <alignment horizontal="center" vertical="center"/>
    </xf>
    <xf numFmtId="49" fontId="30" fillId="19" borderId="3" xfId="0" applyNumberFormat="1" applyFont="1" applyFill="1" applyBorder="1" applyAlignment="1">
      <alignment horizontal="center" vertical="center"/>
    </xf>
    <xf numFmtId="0" fontId="32" fillId="19" borderId="3" xfId="0" applyFont="1" applyFill="1" applyBorder="1" applyAlignment="1">
      <alignment horizontal="left" vertical="center" wrapText="1"/>
    </xf>
    <xf numFmtId="0" fontId="30" fillId="19" borderId="3" xfId="0" applyFont="1" applyFill="1" applyBorder="1" applyAlignment="1">
      <alignment horizontal="center" vertical="center"/>
    </xf>
    <xf numFmtId="4" fontId="30" fillId="19" borderId="3" xfId="0" applyNumberFormat="1" applyFont="1" applyFill="1" applyBorder="1" applyAlignment="1">
      <alignment horizontal="center" vertical="center"/>
    </xf>
    <xf numFmtId="4" fontId="30" fillId="19" borderId="3" xfId="0" applyNumberFormat="1" applyFont="1" applyFill="1" applyBorder="1" applyAlignment="1">
      <alignment horizontal="center" vertical="center" wrapText="1"/>
    </xf>
    <xf numFmtId="4" fontId="2" fillId="19" borderId="3" xfId="0" applyNumberFormat="1" applyFont="1" applyFill="1" applyBorder="1" applyAlignment="1">
      <alignment horizontal="center" vertical="center" wrapText="1"/>
    </xf>
    <xf numFmtId="0" fontId="44" fillId="0" borderId="0" xfId="1" applyAlignment="1">
      <alignment wrapText="1"/>
    </xf>
    <xf numFmtId="0" fontId="32" fillId="4" borderId="11" xfId="0" applyFont="1" applyFill="1" applyBorder="1" applyAlignment="1">
      <alignment horizontal="left" vertical="center" shrinkToFit="1"/>
    </xf>
    <xf numFmtId="0" fontId="35" fillId="0" borderId="6" xfId="0" applyFont="1" applyBorder="1" applyAlignment="1">
      <alignment horizontal="left" vertical="center" wrapText="1"/>
    </xf>
    <xf numFmtId="0" fontId="32" fillId="18" borderId="46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center" wrapText="1"/>
    </xf>
    <xf numFmtId="2" fontId="30" fillId="15" borderId="46" xfId="0" applyNumberFormat="1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4" fontId="2" fillId="11" borderId="0" xfId="0" applyNumberFormat="1" applyFont="1" applyFill="1" applyAlignment="1">
      <alignment horizontal="center" vertical="center" wrapText="1"/>
    </xf>
    <xf numFmtId="4" fontId="2" fillId="8" borderId="0" xfId="0" applyNumberFormat="1" applyFont="1" applyFill="1" applyAlignment="1">
      <alignment horizontal="center" vertical="center" wrapText="1"/>
    </xf>
    <xf numFmtId="4" fontId="30" fillId="12" borderId="46" xfId="0" applyNumberFormat="1" applyFont="1" applyFill="1" applyBorder="1" applyAlignment="1">
      <alignment horizontal="center" vertical="center" wrapText="1"/>
    </xf>
    <xf numFmtId="4" fontId="30" fillId="9" borderId="46" xfId="0" applyNumberFormat="1" applyFont="1" applyFill="1" applyBorder="1" applyAlignment="1">
      <alignment horizontal="center" vertical="center" wrapText="1"/>
    </xf>
    <xf numFmtId="0" fontId="2" fillId="11" borderId="46" xfId="0" applyFont="1" applyFill="1" applyBorder="1" applyAlignment="1">
      <alignment horizontal="center" vertical="center" wrapText="1"/>
    </xf>
    <xf numFmtId="4" fontId="2" fillId="11" borderId="46" xfId="0" applyNumberFormat="1" applyFont="1" applyFill="1" applyBorder="1" applyAlignment="1">
      <alignment horizontal="center" vertical="center" wrapText="1"/>
    </xf>
    <xf numFmtId="4" fontId="2" fillId="8" borderId="46" xfId="0" applyNumberFormat="1" applyFont="1" applyFill="1" applyBorder="1" applyAlignment="1">
      <alignment horizontal="center" vertical="center" wrapText="1"/>
    </xf>
    <xf numFmtId="4" fontId="34" fillId="11" borderId="46" xfId="0" applyNumberFormat="1" applyFont="1" applyFill="1" applyBorder="1" applyAlignment="1">
      <alignment horizontal="center" vertical="center" wrapText="1"/>
    </xf>
    <xf numFmtId="4" fontId="4" fillId="19" borderId="46" xfId="0" applyNumberFormat="1" applyFont="1" applyFill="1" applyBorder="1" applyAlignment="1">
      <alignment horizontal="center" vertical="center" wrapText="1"/>
    </xf>
    <xf numFmtId="4" fontId="2" fillId="21" borderId="46" xfId="0" applyNumberFormat="1" applyFont="1" applyFill="1" applyBorder="1" applyAlignment="1">
      <alignment horizontal="center" vertical="center" wrapText="1"/>
    </xf>
    <xf numFmtId="4" fontId="4" fillId="11" borderId="46" xfId="0" applyNumberFormat="1" applyFont="1" applyFill="1" applyBorder="1" applyAlignment="1">
      <alignment horizontal="center" vertical="center" wrapText="1"/>
    </xf>
    <xf numFmtId="4" fontId="6" fillId="11" borderId="46" xfId="0" applyNumberFormat="1" applyFont="1" applyFill="1" applyBorder="1" applyAlignment="1">
      <alignment horizontal="center" vertical="center" wrapText="1" shrinkToFit="1"/>
    </xf>
    <xf numFmtId="4" fontId="4" fillId="16" borderId="46" xfId="0" applyNumberFormat="1" applyFont="1" applyFill="1" applyBorder="1" applyAlignment="1">
      <alignment horizontal="center" vertical="center" wrapText="1"/>
    </xf>
    <xf numFmtId="4" fontId="30" fillId="11" borderId="46" xfId="0" applyNumberFormat="1" applyFont="1" applyFill="1" applyBorder="1" applyAlignment="1">
      <alignment horizontal="center" vertical="center" wrapText="1" shrinkToFit="1"/>
    </xf>
    <xf numFmtId="164" fontId="4" fillId="16" borderId="46" xfId="0" applyNumberFormat="1" applyFont="1" applyFill="1" applyBorder="1" applyAlignment="1">
      <alignment horizontal="center" vertical="center" wrapText="1"/>
    </xf>
    <xf numFmtId="4" fontId="41" fillId="16" borderId="46" xfId="0" applyNumberFormat="1" applyFont="1" applyFill="1" applyBorder="1" applyAlignment="1">
      <alignment horizontal="center" vertical="center" wrapText="1"/>
    </xf>
    <xf numFmtId="4" fontId="39" fillId="11" borderId="46" xfId="0" applyNumberFormat="1" applyFont="1" applyFill="1" applyBorder="1" applyAlignment="1">
      <alignment horizontal="center" vertical="center" wrapText="1" shrinkToFit="1"/>
    </xf>
    <xf numFmtId="4" fontId="37" fillId="16" borderId="46" xfId="0" applyNumberFormat="1" applyFont="1" applyFill="1" applyBorder="1" applyAlignment="1">
      <alignment horizontal="center" vertical="center" wrapText="1"/>
    </xf>
    <xf numFmtId="166" fontId="2" fillId="0" borderId="46" xfId="0" applyNumberFormat="1" applyFont="1" applyFill="1" applyBorder="1" applyAlignment="1">
      <alignment horizontal="center" vertical="center" wrapText="1"/>
    </xf>
    <xf numFmtId="4" fontId="2" fillId="0" borderId="46" xfId="0" applyNumberFormat="1" applyFont="1" applyFill="1" applyBorder="1" applyAlignment="1">
      <alignment horizontal="center" vertical="center" wrapText="1" shrinkToFit="1"/>
    </xf>
    <xf numFmtId="4" fontId="2" fillId="0" borderId="46" xfId="0" applyNumberFormat="1" applyFont="1" applyFill="1" applyBorder="1" applyAlignment="1">
      <alignment horizontal="center" vertical="center" wrapText="1"/>
    </xf>
    <xf numFmtId="2" fontId="37" fillId="15" borderId="46" xfId="0" applyNumberFormat="1" applyFont="1" applyFill="1" applyBorder="1" applyAlignment="1">
      <alignment horizontal="center" vertical="center" wrapText="1"/>
    </xf>
    <xf numFmtId="2" fontId="2" fillId="0" borderId="46" xfId="0" applyNumberFormat="1" applyFont="1" applyFill="1" applyBorder="1" applyAlignment="1">
      <alignment horizontal="center" vertical="center" wrapText="1"/>
    </xf>
    <xf numFmtId="4" fontId="8" fillId="11" borderId="46" xfId="0" applyNumberFormat="1" applyFont="1" applyFill="1" applyBorder="1" applyAlignment="1">
      <alignment horizontal="center" vertical="center" wrapText="1" shrinkToFit="1"/>
    </xf>
    <xf numFmtId="2" fontId="2" fillId="16" borderId="46" xfId="0" applyNumberFormat="1" applyFont="1" applyFill="1" applyBorder="1" applyAlignment="1">
      <alignment horizontal="center" vertical="center" wrapText="1"/>
    </xf>
    <xf numFmtId="2" fontId="2" fillId="15" borderId="46" xfId="0" applyNumberFormat="1" applyFont="1" applyFill="1" applyBorder="1" applyAlignment="1">
      <alignment horizontal="center" vertical="center" wrapText="1"/>
    </xf>
    <xf numFmtId="167" fontId="30" fillId="15" borderId="46" xfId="0" applyNumberFormat="1" applyFont="1" applyFill="1" applyBorder="1" applyAlignment="1">
      <alignment horizontal="center" vertical="center" wrapText="1"/>
    </xf>
    <xf numFmtId="167" fontId="30" fillId="0" borderId="46" xfId="0" applyNumberFormat="1" applyFont="1" applyFill="1" applyBorder="1" applyAlignment="1">
      <alignment horizontal="center" vertical="center" wrapText="1"/>
    </xf>
    <xf numFmtId="4" fontId="30" fillId="0" borderId="46" xfId="0" applyNumberFormat="1" applyFont="1" applyFill="1" applyBorder="1" applyAlignment="1">
      <alignment horizontal="center" vertical="center" wrapText="1" shrinkToFit="1"/>
    </xf>
    <xf numFmtId="4" fontId="30" fillId="15" borderId="46" xfId="0" applyNumberFormat="1" applyFont="1" applyFill="1" applyBorder="1" applyAlignment="1">
      <alignment horizontal="center" vertical="center" wrapText="1"/>
    </xf>
    <xf numFmtId="2" fontId="2" fillId="19" borderId="46" xfId="0" applyNumberFormat="1" applyFont="1" applyFill="1" applyBorder="1" applyAlignment="1">
      <alignment horizontal="center" vertical="center" wrapText="1"/>
    </xf>
    <xf numFmtId="4" fontId="2" fillId="21" borderId="46" xfId="0" applyNumberFormat="1" applyFont="1" applyFill="1" applyBorder="1" applyAlignment="1">
      <alignment horizontal="center" vertical="center" wrapText="1" shrinkToFit="1"/>
    </xf>
    <xf numFmtId="4" fontId="2" fillId="24" borderId="46" xfId="0" applyNumberFormat="1" applyFont="1" applyFill="1" applyBorder="1" applyAlignment="1">
      <alignment horizontal="center" vertical="center" wrapText="1"/>
    </xf>
    <xf numFmtId="165" fontId="2" fillId="14" borderId="46" xfId="0" applyNumberFormat="1" applyFont="1" applyFill="1" applyBorder="1" applyAlignment="1">
      <alignment horizontal="center" vertical="center" wrapText="1"/>
    </xf>
    <xf numFmtId="4" fontId="4" fillId="0" borderId="46" xfId="0" applyNumberFormat="1" applyFont="1" applyFill="1" applyBorder="1" applyAlignment="1">
      <alignment horizontal="center" vertical="center" wrapText="1"/>
    </xf>
    <xf numFmtId="4" fontId="30" fillId="17" borderId="46" xfId="0" applyNumberFormat="1" applyFont="1" applyFill="1" applyBorder="1" applyAlignment="1">
      <alignment horizontal="center" vertical="center" wrapText="1"/>
    </xf>
    <xf numFmtId="167" fontId="35" fillId="15" borderId="46" xfId="0" applyNumberFormat="1" applyFont="1" applyFill="1" applyBorder="1" applyAlignment="1">
      <alignment horizontal="center" vertical="center" wrapText="1"/>
    </xf>
    <xf numFmtId="4" fontId="35" fillId="11" borderId="46" xfId="0" applyNumberFormat="1" applyFont="1" applyFill="1" applyBorder="1" applyAlignment="1">
      <alignment horizontal="center" vertical="center" wrapText="1" shrinkToFit="1"/>
    </xf>
    <xf numFmtId="4" fontId="35" fillId="17" borderId="46" xfId="0" applyNumberFormat="1" applyFont="1" applyFill="1" applyBorder="1" applyAlignment="1">
      <alignment horizontal="center" vertical="center" wrapText="1"/>
    </xf>
    <xf numFmtId="165" fontId="2" fillId="0" borderId="46" xfId="0" applyNumberFormat="1" applyFont="1" applyFill="1" applyBorder="1" applyAlignment="1">
      <alignment horizontal="center" vertical="center" wrapText="1"/>
    </xf>
    <xf numFmtId="165" fontId="30" fillId="15" borderId="46" xfId="0" applyNumberFormat="1" applyFont="1" applyFill="1" applyBorder="1" applyAlignment="1">
      <alignment horizontal="center" vertical="center" wrapText="1"/>
    </xf>
    <xf numFmtId="2" fontId="35" fillId="15" borderId="46" xfId="0" applyNumberFormat="1" applyFont="1" applyFill="1" applyBorder="1" applyAlignment="1">
      <alignment horizontal="center" vertical="center" wrapText="1"/>
    </xf>
    <xf numFmtId="4" fontId="49" fillId="11" borderId="46" xfId="0" applyNumberFormat="1" applyFont="1" applyFill="1" applyBorder="1" applyAlignment="1">
      <alignment horizontal="center" vertical="center" wrapText="1" shrinkToFit="1"/>
    </xf>
    <xf numFmtId="2" fontId="35" fillId="11" borderId="46" xfId="0" applyNumberFormat="1" applyFont="1" applyFill="1" applyBorder="1" applyAlignment="1">
      <alignment horizontal="center" vertical="center" wrapText="1"/>
    </xf>
    <xf numFmtId="0" fontId="35" fillId="11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15" borderId="46" xfId="0" applyFont="1" applyFill="1" applyBorder="1" applyAlignment="1">
      <alignment horizontal="center" vertical="center" wrapText="1"/>
    </xf>
    <xf numFmtId="0" fontId="30" fillId="15" borderId="46" xfId="0" applyFont="1" applyFill="1" applyBorder="1" applyAlignment="1">
      <alignment horizontal="center" vertical="center" wrapText="1"/>
    </xf>
    <xf numFmtId="166" fontId="30" fillId="15" borderId="46" xfId="0" applyNumberFormat="1" applyFont="1" applyFill="1" applyBorder="1" applyAlignment="1">
      <alignment horizontal="center" vertical="center" wrapText="1"/>
    </xf>
    <xf numFmtId="165" fontId="2" fillId="15" borderId="46" xfId="0" applyNumberFormat="1" applyFont="1" applyFill="1" applyBorder="1" applyAlignment="1">
      <alignment horizontal="center" vertical="center" wrapText="1"/>
    </xf>
    <xf numFmtId="2" fontId="2" fillId="11" borderId="46" xfId="0" applyNumberFormat="1" applyFont="1" applyFill="1" applyBorder="1" applyAlignment="1">
      <alignment horizontal="center" vertical="center" wrapText="1"/>
    </xf>
    <xf numFmtId="167" fontId="2" fillId="15" borderId="46" xfId="0" applyNumberFormat="1" applyFont="1" applyFill="1" applyBorder="1" applyAlignment="1">
      <alignment horizontal="center" vertical="center" wrapText="1"/>
    </xf>
    <xf numFmtId="167" fontId="45" fillId="16" borderId="46" xfId="0" applyNumberFormat="1" applyFont="1" applyFill="1" applyBorder="1" applyAlignment="1">
      <alignment horizontal="center" vertical="center" wrapText="1"/>
    </xf>
    <xf numFmtId="4" fontId="45" fillId="11" borderId="46" xfId="0" applyNumberFormat="1" applyFont="1" applyFill="1" applyBorder="1" applyAlignment="1">
      <alignment horizontal="center" vertical="center" wrapText="1" shrinkToFit="1"/>
    </xf>
    <xf numFmtId="4" fontId="45" fillId="17" borderId="46" xfId="0" applyNumberFormat="1" applyFont="1" applyFill="1" applyBorder="1" applyAlignment="1">
      <alignment horizontal="center" vertical="center" wrapText="1"/>
    </xf>
    <xf numFmtId="165" fontId="4" fillId="15" borderId="46" xfId="0" applyNumberFormat="1" applyFont="1" applyFill="1" applyBorder="1" applyAlignment="1">
      <alignment horizontal="center" vertical="center" wrapText="1"/>
    </xf>
    <xf numFmtId="0" fontId="2" fillId="14" borderId="46" xfId="0" applyFont="1" applyFill="1" applyBorder="1" applyAlignment="1">
      <alignment horizontal="center" vertical="center" wrapText="1"/>
    </xf>
    <xf numFmtId="0" fontId="2" fillId="20" borderId="46" xfId="0" applyFont="1" applyFill="1" applyBorder="1" applyAlignment="1">
      <alignment horizontal="center" vertical="center" wrapText="1"/>
    </xf>
    <xf numFmtId="4" fontId="2" fillId="20" borderId="46" xfId="0" applyNumberFormat="1" applyFont="1" applyFill="1" applyBorder="1" applyAlignment="1">
      <alignment horizontal="center" vertical="center" wrapText="1" shrinkToFit="1"/>
    </xf>
    <xf numFmtId="4" fontId="2" fillId="20" borderId="46" xfId="0" applyNumberFormat="1" applyFont="1" applyFill="1" applyBorder="1" applyAlignment="1">
      <alignment horizontal="center" vertical="center" wrapText="1"/>
    </xf>
    <xf numFmtId="0" fontId="2" fillId="19" borderId="46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>
      <alignment horizontal="center" vertical="center" wrapText="1"/>
    </xf>
    <xf numFmtId="4" fontId="6" fillId="13" borderId="46" xfId="0" applyNumberFormat="1" applyFont="1" applyFill="1" applyBorder="1" applyAlignment="1">
      <alignment horizontal="center" vertical="center" wrapText="1" shrinkToFit="1"/>
    </xf>
    <xf numFmtId="0" fontId="30" fillId="19" borderId="46" xfId="0" applyFont="1" applyFill="1" applyBorder="1" applyAlignment="1">
      <alignment horizontal="center" vertical="center" wrapText="1"/>
    </xf>
    <xf numFmtId="4" fontId="30" fillId="21" borderId="46" xfId="0" applyNumberFormat="1" applyFont="1" applyFill="1" applyBorder="1" applyAlignment="1">
      <alignment horizontal="center" vertical="center" wrapText="1" shrinkToFit="1"/>
    </xf>
    <xf numFmtId="4" fontId="30" fillId="24" borderId="46" xfId="0" applyNumberFormat="1" applyFont="1" applyFill="1" applyBorder="1" applyAlignment="1">
      <alignment horizontal="center" vertical="center" wrapText="1"/>
    </xf>
    <xf numFmtId="0" fontId="2" fillId="12" borderId="46" xfId="0" applyFont="1" applyFill="1" applyBorder="1" applyAlignment="1">
      <alignment horizontal="center" vertical="center" wrapText="1"/>
    </xf>
    <xf numFmtId="4" fontId="0" fillId="11" borderId="0" xfId="0" applyNumberFormat="1" applyFont="1" applyFill="1" applyAlignment="1">
      <alignment horizontal="center" vertical="center" wrapText="1"/>
    </xf>
    <xf numFmtId="4" fontId="0" fillId="8" borderId="0" xfId="0" applyNumberFormat="1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8" fillId="11" borderId="46" xfId="0" applyFont="1" applyFill="1" applyBorder="1" applyAlignment="1">
      <alignment horizontal="center" vertical="center" wrapText="1"/>
    </xf>
    <xf numFmtId="0" fontId="33" fillId="21" borderId="46" xfId="0" applyFont="1" applyFill="1" applyBorder="1" applyAlignment="1">
      <alignment horizontal="center" vertical="center" wrapText="1"/>
    </xf>
    <xf numFmtId="0" fontId="33" fillId="0" borderId="51" xfId="0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20" borderId="46" xfId="0" applyFont="1" applyFill="1" applyBorder="1" applyAlignment="1">
      <alignment horizontal="center" vertical="center" wrapText="1"/>
    </xf>
    <xf numFmtId="0" fontId="0" fillId="11" borderId="0" xfId="0" applyFont="1" applyFill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4" fontId="36" fillId="15" borderId="46" xfId="0" applyNumberFormat="1" applyFont="1" applyFill="1" applyBorder="1" applyAlignment="1">
      <alignment horizontal="center" vertical="center" wrapText="1"/>
    </xf>
    <xf numFmtId="0" fontId="35" fillId="11" borderId="47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0" fontId="33" fillId="11" borderId="46" xfId="0" applyFont="1" applyFill="1" applyBorder="1" applyAlignment="1">
      <alignment horizontal="center" vertical="center" wrapText="1"/>
    </xf>
    <xf numFmtId="4" fontId="35" fillId="11" borderId="47" xfId="0" applyNumberFormat="1" applyFont="1" applyFill="1" applyBorder="1" applyAlignment="1">
      <alignment horizontal="center" vertical="center" wrapText="1" shrinkToFit="1"/>
    </xf>
    <xf numFmtId="0" fontId="0" fillId="11" borderId="46" xfId="0" applyFont="1" applyFill="1" applyBorder="1" applyAlignment="1">
      <alignment horizontal="center" vertical="center" wrapText="1" shrinkToFit="1"/>
    </xf>
    <xf numFmtId="0" fontId="30" fillId="15" borderId="46" xfId="0" applyFont="1" applyFill="1" applyBorder="1" applyAlignment="1">
      <alignment horizontal="center" vertical="center" wrapText="1"/>
    </xf>
    <xf numFmtId="4" fontId="36" fillId="15" borderId="46" xfId="0" applyNumberFormat="1" applyFont="1" applyFill="1" applyBorder="1" applyAlignment="1">
      <alignment horizontal="center" vertical="center" wrapText="1"/>
    </xf>
    <xf numFmtId="4" fontId="50" fillId="15" borderId="46" xfId="0" applyNumberFormat="1" applyFont="1" applyFill="1" applyBorder="1" applyAlignment="1">
      <alignment horizontal="center" vertical="center" wrapText="1"/>
    </xf>
    <xf numFmtId="0" fontId="30" fillId="4" borderId="52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2" fillId="4" borderId="8" xfId="0" applyFont="1" applyFill="1" applyBorder="1" applyAlignment="1">
      <alignment horizontal="left" vertical="center" shrinkToFi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168" fontId="52" fillId="0" borderId="0" xfId="0" applyNumberFormat="1" applyFont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30" fillId="15" borderId="46" xfId="0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Border="1"/>
    <xf numFmtId="4" fontId="36" fillId="15" borderId="46" xfId="0" applyNumberFormat="1" applyFont="1" applyFill="1" applyBorder="1" applyAlignment="1">
      <alignment horizontal="center" vertical="center" wrapText="1"/>
    </xf>
    <xf numFmtId="4" fontId="4" fillId="15" borderId="47" xfId="0" applyNumberFormat="1" applyFont="1" applyFill="1" applyBorder="1" applyAlignment="1">
      <alignment horizontal="center" vertical="center" wrapText="1"/>
    </xf>
    <xf numFmtId="4" fontId="41" fillId="15" borderId="47" xfId="0" applyNumberFormat="1" applyFont="1" applyFill="1" applyBorder="1" applyAlignment="1">
      <alignment horizontal="center" vertical="center" wrapText="1"/>
    </xf>
    <xf numFmtId="4" fontId="36" fillId="15" borderId="47" xfId="0" applyNumberFormat="1" applyFont="1" applyFill="1" applyBorder="1" applyAlignment="1">
      <alignment horizontal="center" vertical="center" wrapText="1"/>
    </xf>
    <xf numFmtId="167" fontId="30" fillId="15" borderId="53" xfId="0" applyNumberFormat="1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0" fillId="15" borderId="47" xfId="0" applyFont="1" applyFill="1" applyBorder="1" applyAlignment="1">
      <alignment horizontal="center" vertical="center" wrapText="1"/>
    </xf>
    <xf numFmtId="4" fontId="2" fillId="11" borderId="47" xfId="0" applyNumberFormat="1" applyFont="1" applyFill="1" applyBorder="1" applyAlignment="1">
      <alignment horizontal="center" vertical="center" wrapText="1" shrinkToFit="1"/>
    </xf>
    <xf numFmtId="0" fontId="0" fillId="0" borderId="51" xfId="0" applyFont="1" applyBorder="1" applyAlignment="1">
      <alignment horizontal="center" vertical="center" wrapText="1" shrinkToFit="1"/>
    </xf>
    <xf numFmtId="0" fontId="0" fillId="0" borderId="48" xfId="0" applyFont="1" applyBorder="1" applyAlignment="1">
      <alignment horizontal="center" vertical="center" wrapText="1" shrinkToFit="1"/>
    </xf>
    <xf numFmtId="166" fontId="30" fillId="15" borderId="53" xfId="0" applyNumberFormat="1" applyFont="1" applyFill="1" applyBorder="1" applyAlignment="1">
      <alignment horizontal="center" vertical="center" wrapText="1"/>
    </xf>
    <xf numFmtId="167" fontId="30" fillId="15" borderId="56" xfId="0" applyNumberFormat="1" applyFont="1" applyFill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2" fontId="33" fillId="0" borderId="47" xfId="0" applyNumberFormat="1" applyFont="1" applyBorder="1" applyAlignment="1">
      <alignment horizontal="center" vertical="center" wrapText="1"/>
    </xf>
    <xf numFmtId="2" fontId="0" fillId="0" borderId="51" xfId="0" applyNumberFormat="1" applyFont="1" applyBorder="1" applyAlignment="1">
      <alignment horizontal="center" vertical="center" wrapText="1"/>
    </xf>
    <xf numFmtId="2" fontId="0" fillId="0" borderId="48" xfId="0" applyNumberFormat="1" applyFont="1" applyBorder="1" applyAlignment="1">
      <alignment horizontal="center" vertical="center" wrapText="1"/>
    </xf>
    <xf numFmtId="4" fontId="2" fillId="17" borderId="47" xfId="0" applyNumberFormat="1" applyFont="1" applyFill="1" applyBorder="1" applyAlignment="1">
      <alignment horizontal="center" vertical="center" wrapText="1"/>
    </xf>
    <xf numFmtId="168" fontId="13" fillId="6" borderId="21" xfId="0" applyNumberFormat="1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20" xfId="0" applyFont="1" applyBorder="1"/>
    <xf numFmtId="3" fontId="13" fillId="6" borderId="2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3" fillId="6" borderId="16" xfId="0" applyNumberFormat="1" applyFont="1" applyFill="1" applyBorder="1" applyAlignment="1">
      <alignment horizontal="center" vertical="center" wrapText="1"/>
    </xf>
    <xf numFmtId="168" fontId="13" fillId="6" borderId="16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shrinkToFit="1"/>
    </xf>
    <xf numFmtId="4" fontId="22" fillId="0" borderId="33" xfId="0" applyNumberFormat="1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30" xfId="0" applyFont="1" applyBorder="1"/>
    <xf numFmtId="4" fontId="22" fillId="0" borderId="31" xfId="0" applyNumberFormat="1" applyFont="1" applyBorder="1" applyAlignment="1">
      <alignment horizontal="center" vertical="center" wrapText="1"/>
    </xf>
    <xf numFmtId="0" fontId="3" fillId="0" borderId="29" xfId="0" applyFont="1" applyBorder="1"/>
    <xf numFmtId="0" fontId="22" fillId="0" borderId="0" xfId="0" applyFont="1" applyAlignment="1">
      <alignment horizontal="left" wrapText="1"/>
    </xf>
    <xf numFmtId="49" fontId="22" fillId="0" borderId="31" xfId="0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3" fillId="0" borderId="19" xfId="0" applyFont="1" applyBorder="1"/>
    <xf numFmtId="4" fontId="45" fillId="25" borderId="38" xfId="0" applyNumberFormat="1" applyFont="1" applyFill="1" applyBorder="1" applyAlignment="1">
      <alignment horizontal="center" vertical="center"/>
    </xf>
    <xf numFmtId="4" fontId="45" fillId="0" borderId="3" xfId="0" applyNumberFormat="1" applyFont="1" applyBorder="1" applyAlignment="1">
      <alignment horizontal="center" vertical="center" wrapText="1"/>
    </xf>
    <xf numFmtId="4" fontId="45" fillId="27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4" fontId="45" fillId="0" borderId="38" xfId="0" applyNumberFormat="1" applyFont="1" applyFill="1" applyBorder="1" applyAlignment="1">
      <alignment horizontal="center" vertical="center"/>
    </xf>
    <xf numFmtId="4" fontId="45" fillId="0" borderId="9" xfId="0" applyNumberFormat="1" applyFont="1" applyFill="1" applyBorder="1" applyAlignment="1">
      <alignment horizontal="center" vertical="center"/>
    </xf>
    <xf numFmtId="4" fontId="45" fillId="29" borderId="3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wrapText="1"/>
    </xf>
    <xf numFmtId="4" fontId="22" fillId="0" borderId="8" xfId="0" applyNumberFormat="1" applyFont="1" applyBorder="1" applyAlignment="1">
      <alignment horizontal="center" wrapText="1"/>
    </xf>
    <xf numFmtId="4" fontId="22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4" fontId="2" fillId="5" borderId="8" xfId="0" applyNumberFormat="1" applyFont="1" applyFill="1" applyBorder="1" applyAlignment="1">
      <alignment horizontal="center" vertical="center"/>
    </xf>
    <xf numFmtId="2" fontId="22" fillId="0" borderId="8" xfId="0" applyNumberFormat="1" applyFont="1" applyBorder="1" applyAlignment="1">
      <alignment horizontal="center" wrapText="1"/>
    </xf>
    <xf numFmtId="4" fontId="1" fillId="30" borderId="46" xfId="0" applyNumberFormat="1" applyFont="1" applyFill="1" applyBorder="1" applyAlignment="1">
      <alignment horizontal="center" wrapText="1"/>
    </xf>
    <xf numFmtId="4" fontId="21" fillId="30" borderId="53" xfId="0" applyNumberFormat="1" applyFont="1" applyFill="1" applyBorder="1" applyAlignment="1">
      <alignment horizontal="center" vertical="center" wrapText="1"/>
    </xf>
    <xf numFmtId="4" fontId="21" fillId="30" borderId="55" xfId="0" applyNumberFormat="1" applyFont="1" applyFill="1" applyBorder="1" applyAlignment="1">
      <alignment horizontal="center" vertical="center" wrapText="1"/>
    </xf>
    <xf numFmtId="4" fontId="45" fillId="0" borderId="9" xfId="0" applyNumberFormat="1" applyFont="1" applyFill="1" applyBorder="1" applyAlignment="1">
      <alignment horizontal="center" vertical="center" wrapText="1"/>
    </xf>
    <xf numFmtId="4" fontId="35" fillId="19" borderId="3" xfId="0" applyNumberFormat="1" applyFont="1" applyFill="1" applyBorder="1" applyAlignment="1">
      <alignment horizontal="center" vertical="center" wrapText="1"/>
    </xf>
    <xf numFmtId="4" fontId="35" fillId="5" borderId="3" xfId="0" applyNumberFormat="1" applyFont="1" applyFill="1" applyBorder="1" applyAlignment="1">
      <alignment horizontal="center" vertical="center" wrapText="1"/>
    </xf>
    <xf numFmtId="4" fontId="35" fillId="23" borderId="3" xfId="0" applyNumberFormat="1" applyFont="1" applyFill="1" applyBorder="1" applyAlignment="1">
      <alignment horizontal="center" vertical="center" wrapText="1"/>
    </xf>
    <xf numFmtId="4" fontId="45" fillId="0" borderId="0" xfId="0" applyNumberFormat="1" applyFont="1" applyAlignment="1">
      <alignment horizontal="center" vertical="center"/>
    </xf>
    <xf numFmtId="4" fontId="55" fillId="0" borderId="38" xfId="0" applyNumberFormat="1" applyFont="1" applyBorder="1" applyAlignment="1">
      <alignment horizontal="center" vertical="center"/>
    </xf>
    <xf numFmtId="4" fontId="45" fillId="0" borderId="50" xfId="0" applyNumberFormat="1" applyFont="1" applyBorder="1" applyAlignment="1">
      <alignment horizontal="center" vertical="center"/>
    </xf>
    <xf numFmtId="4" fontId="45" fillId="5" borderId="9" xfId="0" applyNumberFormat="1" applyFont="1" applyFill="1" applyBorder="1" applyAlignment="1">
      <alignment horizontal="center" vertical="center"/>
    </xf>
    <xf numFmtId="4" fontId="45" fillId="26" borderId="9" xfId="0" applyNumberFormat="1" applyFont="1" applyFill="1" applyBorder="1" applyAlignment="1">
      <alignment horizontal="center" vertical="center"/>
    </xf>
    <xf numFmtId="4" fontId="45" fillId="27" borderId="9" xfId="0" applyNumberFormat="1" applyFont="1" applyFill="1" applyBorder="1" applyAlignment="1">
      <alignment horizontal="center" vertical="center"/>
    </xf>
    <xf numFmtId="4" fontId="45" fillId="28" borderId="9" xfId="0" applyNumberFormat="1" applyFont="1" applyFill="1" applyBorder="1" applyAlignment="1">
      <alignment horizontal="center" vertical="center"/>
    </xf>
    <xf numFmtId="4" fontId="45" fillId="28" borderId="9" xfId="0" applyNumberFormat="1" applyFont="1" applyFill="1" applyBorder="1" applyAlignment="1">
      <alignment horizontal="center" vertical="center" wrapText="1"/>
    </xf>
    <xf numFmtId="4" fontId="45" fillId="0" borderId="49" xfId="0" applyNumberFormat="1" applyFont="1" applyFill="1" applyBorder="1" applyAlignment="1">
      <alignment horizontal="center" vertical="center"/>
    </xf>
    <xf numFmtId="4" fontId="55" fillId="0" borderId="0" xfId="0" applyNumberFormat="1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103698</xdr:colOff>
      <xdr:row>63</xdr:row>
      <xdr:rowOff>61452</xdr:rowOff>
    </xdr:from>
    <xdr:to>
      <xdr:col>20</xdr:col>
      <xdr:colOff>652934</xdr:colOff>
      <xdr:row>69</xdr:row>
      <xdr:rowOff>613155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4787" y="28513549"/>
          <a:ext cx="5680445" cy="4544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2689860</xdr:colOff>
      <xdr:row>0</xdr:row>
      <xdr:rowOff>0</xdr:rowOff>
    </xdr:from>
    <xdr:to>
      <xdr:col>13</xdr:col>
      <xdr:colOff>595629</xdr:colOff>
      <xdr:row>17</xdr:row>
      <xdr:rowOff>35004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3860" y="0"/>
          <a:ext cx="7133589" cy="40126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Users/User/Desktop/&#1055;&#1051;&#1040;&#1053;&#1067;/&#1055;&#1083;&#1072;&#1085;&#1099;%20&#1055;&#1086;&#1088;&#1090;&#1072;&#1083;%202020/2020.10.31%20&#1055;&#1083;&#1072;&#1085;%20%20&#1055;&#1086;&#1088;&#1090;&#1072;&#1083;%20%20202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Users/elena.kudryashova/Desktop/&#1050;&#1091;&#1076;&#1088;&#1103;&#1096;&#1086;&#1074;&#1072;/&#1058;&#1040;&#1056;&#1048;&#1060;&#1067;/&#1058;&#1072;&#1088;&#1080;&#1092;&#1099;_2019/&#1051;&#1057;/&#1058;&#1072;&#1088;&#1080;&#1092;_&#1057;&#1080;&#1056;_2019_v1%20(&#1064;.%20&#1044;&#1084;&#1080;&#1090;&#1088;&#1086;&#1074;&#1089;&#1082;&#1086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заводск.12А ду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_СО_26.8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s.ru/dgkh/documents/deistvuiushchie-normativnye-pravovye-akty/view/233590220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1"/>
  <sheetViews>
    <sheetView tabSelected="1" zoomScaleNormal="52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K9" sqref="K9"/>
    </sheetView>
  </sheetViews>
  <sheetFormatPr baseColWidth="10" defaultColWidth="14.5" defaultRowHeight="15" x14ac:dyDescent="0.2"/>
  <cols>
    <col min="1" max="1" width="8" customWidth="1"/>
    <col min="2" max="2" width="52.5" style="219" customWidth="1"/>
    <col min="3" max="3" width="7.33203125" customWidth="1"/>
    <col min="4" max="4" width="11.6640625" customWidth="1"/>
    <col min="5" max="5" width="20.83203125" style="221" customWidth="1"/>
    <col min="6" max="6" width="13.6640625" customWidth="1"/>
    <col min="7" max="7" width="13.83203125" customWidth="1"/>
    <col min="8" max="8" width="12.83203125" customWidth="1"/>
    <col min="9" max="9" width="16" style="101" customWidth="1"/>
    <col min="10" max="10" width="22.5" style="101" customWidth="1"/>
    <col min="11" max="11" width="21.5" style="532" customWidth="1"/>
    <col min="12" max="12" width="34.6640625" style="430" customWidth="1"/>
    <col min="13" max="13" width="28" style="421" hidden="1" customWidth="1"/>
    <col min="14" max="14" width="21.83203125" style="422" customWidth="1"/>
    <col min="15" max="15" width="46" style="423" customWidth="1"/>
    <col min="16" max="16" width="18.83203125" style="101" customWidth="1"/>
  </cols>
  <sheetData>
    <row r="1" spans="1:15" x14ac:dyDescent="0.2">
      <c r="A1" s="452" t="e">
        <f>'[1]Электрозаводск.12А ду'!A1:I1</f>
        <v>#REF!</v>
      </c>
      <c r="B1" s="453"/>
      <c r="C1" s="453"/>
      <c r="D1" s="453"/>
      <c r="E1" s="453"/>
      <c r="F1" s="453"/>
      <c r="G1" s="453"/>
      <c r="H1" s="453"/>
      <c r="I1" s="453"/>
      <c r="J1" s="453"/>
      <c r="K1" s="523"/>
      <c r="L1" s="353"/>
      <c r="M1" s="354"/>
      <c r="N1" s="355"/>
    </row>
    <row r="2" spans="1:15" ht="30" x14ac:dyDescent="0.2">
      <c r="A2" s="1"/>
      <c r="B2" s="222" t="s">
        <v>0</v>
      </c>
      <c r="C2" s="2"/>
      <c r="D2" s="3"/>
      <c r="E2" s="243"/>
      <c r="F2" s="3"/>
      <c r="G2" s="2"/>
      <c r="H2" s="2"/>
      <c r="I2" s="264" t="s">
        <v>590</v>
      </c>
      <c r="J2" s="351"/>
      <c r="K2" s="523"/>
      <c r="L2" s="353"/>
      <c r="M2" s="354"/>
      <c r="N2" s="355"/>
    </row>
    <row r="3" spans="1:15" ht="75" x14ac:dyDescent="0.2">
      <c r="A3" s="5" t="s">
        <v>1</v>
      </c>
      <c r="B3" s="223" t="s">
        <v>2</v>
      </c>
      <c r="C3" s="454" t="s">
        <v>3</v>
      </c>
      <c r="D3" s="455"/>
      <c r="E3" s="244" t="s">
        <v>4</v>
      </c>
      <c r="F3" s="6" t="s">
        <v>5</v>
      </c>
      <c r="G3" s="6" t="s">
        <v>6</v>
      </c>
      <c r="H3" s="6" t="s">
        <v>7</v>
      </c>
      <c r="I3" s="265" t="s">
        <v>8</v>
      </c>
      <c r="J3" s="265" t="s">
        <v>9</v>
      </c>
      <c r="K3" s="524" t="s">
        <v>8</v>
      </c>
      <c r="L3" s="424" t="s">
        <v>596</v>
      </c>
      <c r="M3" s="356" t="s">
        <v>597</v>
      </c>
      <c r="N3" s="357" t="s">
        <v>598</v>
      </c>
      <c r="O3" s="288"/>
    </row>
    <row r="4" spans="1:15" x14ac:dyDescent="0.2">
      <c r="A4" s="7">
        <v>1</v>
      </c>
      <c r="B4" s="224">
        <v>2</v>
      </c>
      <c r="C4" s="8"/>
      <c r="D4" s="5"/>
      <c r="E4" s="223"/>
      <c r="F4" s="5"/>
      <c r="G4" s="8"/>
      <c r="H4" s="8"/>
      <c r="I4" s="5"/>
      <c r="J4" s="5"/>
      <c r="K4" s="525" t="s">
        <v>684</v>
      </c>
      <c r="L4" s="358"/>
      <c r="M4" s="359"/>
      <c r="N4" s="360"/>
      <c r="O4" s="288"/>
    </row>
    <row r="5" spans="1:15" ht="52" customHeight="1" x14ac:dyDescent="0.2">
      <c r="A5" s="9">
        <v>1</v>
      </c>
      <c r="B5" s="225" t="s">
        <v>10</v>
      </c>
      <c r="C5" s="9"/>
      <c r="D5" s="10"/>
      <c r="E5" s="245"/>
      <c r="F5" s="10"/>
      <c r="G5" s="11"/>
      <c r="H5" s="11"/>
      <c r="I5" s="266">
        <v>1522087.8156000001</v>
      </c>
      <c r="J5" s="266">
        <f>ROUND(I5/1000,2)</f>
        <v>1522.09</v>
      </c>
      <c r="K5" s="501">
        <f>I5</f>
        <v>1522087.8156000001</v>
      </c>
      <c r="L5" s="361" t="s">
        <v>588</v>
      </c>
      <c r="M5" s="361" t="s">
        <v>588</v>
      </c>
      <c r="N5" s="361" t="s">
        <v>588</v>
      </c>
      <c r="O5" s="288" t="s">
        <v>603</v>
      </c>
    </row>
    <row r="6" spans="1:15" ht="52" customHeight="1" x14ac:dyDescent="0.2">
      <c r="A6" s="291"/>
      <c r="B6" s="296" t="s">
        <v>11</v>
      </c>
      <c r="C6" s="291"/>
      <c r="D6" s="292"/>
      <c r="E6" s="293"/>
      <c r="F6" s="292"/>
      <c r="G6" s="294"/>
      <c r="H6" s="294"/>
      <c r="I6" s="295">
        <f t="shared" ref="I6:J6" si="0">I5</f>
        <v>1522087.8156000001</v>
      </c>
      <c r="J6" s="295">
        <f t="shared" si="0"/>
        <v>1522.09</v>
      </c>
      <c r="K6" s="520">
        <f>K5</f>
        <v>1522087.8156000001</v>
      </c>
      <c r="L6" s="362"/>
      <c r="M6" s="363"/>
      <c r="N6" s="363"/>
      <c r="O6" s="425"/>
    </row>
    <row r="7" spans="1:15" ht="52" customHeight="1" x14ac:dyDescent="0.2">
      <c r="A7" s="8">
        <v>2</v>
      </c>
      <c r="B7" s="216" t="s">
        <v>12</v>
      </c>
      <c r="C7" s="8"/>
      <c r="D7" s="5"/>
      <c r="E7" s="223"/>
      <c r="F7" s="5"/>
      <c r="G7" s="12"/>
      <c r="H7" s="12"/>
      <c r="I7" s="267">
        <f t="shared" ref="I7:K7" si="1">SUM(I8:I12)</f>
        <v>469817.24</v>
      </c>
      <c r="J7" s="267">
        <f t="shared" si="1"/>
        <v>469.81999999999994</v>
      </c>
      <c r="K7" s="502">
        <f t="shared" si="1"/>
        <v>265312.64399999997</v>
      </c>
      <c r="L7" s="364"/>
      <c r="M7" s="284"/>
      <c r="N7" s="360"/>
      <c r="O7" s="288"/>
    </row>
    <row r="8" spans="1:15" ht="52" customHeight="1" x14ac:dyDescent="0.2">
      <c r="A8" s="13" t="s">
        <v>13</v>
      </c>
      <c r="B8" s="217" t="s">
        <v>14</v>
      </c>
      <c r="C8" s="14">
        <v>365</v>
      </c>
      <c r="D8" s="15" t="s">
        <v>15</v>
      </c>
      <c r="E8" s="246" t="s">
        <v>16</v>
      </c>
      <c r="F8" s="15" t="s">
        <v>17</v>
      </c>
      <c r="G8" s="16">
        <v>279.8</v>
      </c>
      <c r="H8" s="16">
        <f>2.04*1.2</f>
        <v>2.448</v>
      </c>
      <c r="I8" s="268">
        <f t="shared" ref="I8:I12" si="2">ROUND(G8*H8*C8,2)</f>
        <v>250006.9</v>
      </c>
      <c r="J8" s="268">
        <f t="shared" ref="J8:J12" si="3">ROUND(I8/1000,2)</f>
        <v>250.01</v>
      </c>
      <c r="K8" s="506">
        <f>N8</f>
        <v>115613.724</v>
      </c>
      <c r="L8" s="286" t="s">
        <v>674</v>
      </c>
      <c r="M8" s="365">
        <v>96344.77</v>
      </c>
      <c r="N8" s="285">
        <f>M8*1.2</f>
        <v>115613.724</v>
      </c>
      <c r="O8" s="447" t="s">
        <v>603</v>
      </c>
    </row>
    <row r="9" spans="1:15" ht="52" customHeight="1" x14ac:dyDescent="0.2">
      <c r="A9" s="13" t="s">
        <v>18</v>
      </c>
      <c r="B9" s="217" t="s">
        <v>19</v>
      </c>
      <c r="C9" s="14">
        <v>52</v>
      </c>
      <c r="D9" s="15" t="s">
        <v>15</v>
      </c>
      <c r="E9" s="246" t="s">
        <v>16</v>
      </c>
      <c r="F9" s="15" t="s">
        <v>17</v>
      </c>
      <c r="G9" s="16">
        <v>1343</v>
      </c>
      <c r="H9" s="16">
        <f>1.78*1.2</f>
        <v>2.1360000000000001</v>
      </c>
      <c r="I9" s="268">
        <f t="shared" si="2"/>
        <v>149169.70000000001</v>
      </c>
      <c r="J9" s="268">
        <f t="shared" si="3"/>
        <v>149.16999999999999</v>
      </c>
      <c r="K9" s="506">
        <f>N9</f>
        <v>79058.279999999984</v>
      </c>
      <c r="L9" s="439" t="s">
        <v>674</v>
      </c>
      <c r="M9" s="365">
        <f>65881.9</f>
        <v>65881.899999999994</v>
      </c>
      <c r="N9" s="285">
        <f t="shared" ref="N9:N62" si="4">M9*1.2</f>
        <v>79058.279999999984</v>
      </c>
      <c r="O9" s="449"/>
    </row>
    <row r="10" spans="1:15" ht="52" customHeight="1" x14ac:dyDescent="0.2">
      <c r="A10" s="17" t="s">
        <v>20</v>
      </c>
      <c r="B10" s="226" t="s">
        <v>21</v>
      </c>
      <c r="C10" s="18">
        <v>52</v>
      </c>
      <c r="D10" s="19" t="s">
        <v>22</v>
      </c>
      <c r="E10" s="247" t="s">
        <v>16</v>
      </c>
      <c r="F10" s="19" t="s">
        <v>17</v>
      </c>
      <c r="G10" s="20"/>
      <c r="H10" s="20">
        <f>3.15*1.2</f>
        <v>3.78</v>
      </c>
      <c r="I10" s="269">
        <f t="shared" si="2"/>
        <v>0</v>
      </c>
      <c r="J10" s="269">
        <f t="shared" si="3"/>
        <v>0</v>
      </c>
      <c r="K10" s="506"/>
      <c r="L10" s="367"/>
      <c r="M10" s="367"/>
      <c r="N10" s="367"/>
      <c r="O10" s="288"/>
    </row>
    <row r="11" spans="1:15" ht="52" customHeight="1" x14ac:dyDescent="0.2">
      <c r="A11" s="17" t="s">
        <v>23</v>
      </c>
      <c r="B11" s="227" t="s">
        <v>24</v>
      </c>
      <c r="C11" s="18">
        <v>52</v>
      </c>
      <c r="D11" s="19" t="s">
        <v>22</v>
      </c>
      <c r="E11" s="247" t="s">
        <v>16</v>
      </c>
      <c r="F11" s="19" t="s">
        <v>25</v>
      </c>
      <c r="G11" s="20"/>
      <c r="H11" s="20">
        <f>19.7*1.2</f>
        <v>23.639999999999997</v>
      </c>
      <c r="I11" s="269">
        <f t="shared" si="2"/>
        <v>0</v>
      </c>
      <c r="J11" s="269">
        <f t="shared" si="3"/>
        <v>0</v>
      </c>
      <c r="K11" s="526"/>
      <c r="L11" s="367"/>
      <c r="M11" s="367"/>
      <c r="N11" s="367"/>
      <c r="O11" s="288"/>
    </row>
    <row r="12" spans="1:15" ht="52" customHeight="1" x14ac:dyDescent="0.2">
      <c r="A12" s="13" t="s">
        <v>26</v>
      </c>
      <c r="B12" s="220" t="s">
        <v>27</v>
      </c>
      <c r="C12" s="14">
        <v>365</v>
      </c>
      <c r="D12" s="15" t="s">
        <v>15</v>
      </c>
      <c r="E12" s="246" t="s">
        <v>16</v>
      </c>
      <c r="F12" s="15" t="s">
        <v>17</v>
      </c>
      <c r="G12" s="16">
        <f>4*12</f>
        <v>48</v>
      </c>
      <c r="H12" s="16">
        <f>3.36*1.2</f>
        <v>4.032</v>
      </c>
      <c r="I12" s="268">
        <f t="shared" si="2"/>
        <v>70640.639999999999</v>
      </c>
      <c r="J12" s="268">
        <f t="shared" si="3"/>
        <v>70.64</v>
      </c>
      <c r="K12" s="501">
        <f>I12</f>
        <v>70640.639999999999</v>
      </c>
      <c r="L12" s="367" t="s">
        <v>588</v>
      </c>
      <c r="M12" s="367" t="s">
        <v>588</v>
      </c>
      <c r="N12" s="367" t="s">
        <v>588</v>
      </c>
      <c r="O12" s="288" t="s">
        <v>603</v>
      </c>
    </row>
    <row r="13" spans="1:15" ht="52" customHeight="1" x14ac:dyDescent="0.2">
      <c r="A13" s="21" t="s">
        <v>28</v>
      </c>
      <c r="B13" s="228" t="s">
        <v>29</v>
      </c>
      <c r="C13" s="18"/>
      <c r="D13" s="19"/>
      <c r="E13" s="247"/>
      <c r="F13" s="19"/>
      <c r="G13" s="20"/>
      <c r="H13" s="20"/>
      <c r="I13" s="270">
        <f t="shared" ref="I13:K13" si="5">SUM(I14:I21)</f>
        <v>622578.18999999994</v>
      </c>
      <c r="J13" s="270">
        <f t="shared" si="5"/>
        <v>622.57000000000005</v>
      </c>
      <c r="K13" s="503">
        <f t="shared" si="5"/>
        <v>622578.18999999994</v>
      </c>
      <c r="L13" s="368"/>
      <c r="M13" s="284"/>
      <c r="N13" s="285"/>
      <c r="O13" s="288"/>
    </row>
    <row r="14" spans="1:15" ht="52" customHeight="1" x14ac:dyDescent="0.2">
      <c r="A14" s="13" t="s">
        <v>30</v>
      </c>
      <c r="B14" s="220" t="s">
        <v>31</v>
      </c>
      <c r="C14" s="14">
        <v>52</v>
      </c>
      <c r="D14" s="15" t="s">
        <v>15</v>
      </c>
      <c r="E14" s="246" t="s">
        <v>16</v>
      </c>
      <c r="F14" s="15" t="s">
        <v>17</v>
      </c>
      <c r="G14" s="16">
        <v>279.8</v>
      </c>
      <c r="H14" s="16">
        <f t="shared" ref="H14:H15" si="6">2.88*1.2</f>
        <v>3.456</v>
      </c>
      <c r="I14" s="268">
        <f t="shared" ref="I14:I21" si="7">ROUND(G14*H14*C14,2)</f>
        <v>50283.42</v>
      </c>
      <c r="J14" s="268">
        <f t="shared" ref="J14:J21" si="8">ROUND(I14/1000,2)</f>
        <v>50.28</v>
      </c>
      <c r="K14" s="527">
        <f>I14</f>
        <v>50283.42</v>
      </c>
      <c r="L14" s="456"/>
      <c r="M14" s="258">
        <v>44038.73</v>
      </c>
      <c r="N14" s="285"/>
      <c r="O14" s="447" t="s">
        <v>651</v>
      </c>
    </row>
    <row r="15" spans="1:15" ht="52" customHeight="1" x14ac:dyDescent="0.2">
      <c r="A15" s="17"/>
      <c r="B15" s="229" t="s">
        <v>31</v>
      </c>
      <c r="C15" s="22">
        <f>365-52</f>
        <v>313</v>
      </c>
      <c r="D15" s="23" t="s">
        <v>15</v>
      </c>
      <c r="E15" s="248" t="s">
        <v>16</v>
      </c>
      <c r="F15" s="23" t="s">
        <v>17</v>
      </c>
      <c r="G15" s="24">
        <v>279.8</v>
      </c>
      <c r="H15" s="24">
        <f t="shared" si="6"/>
        <v>3.456</v>
      </c>
      <c r="I15" s="271">
        <f t="shared" si="7"/>
        <v>302667.49</v>
      </c>
      <c r="J15" s="271">
        <f t="shared" si="8"/>
        <v>302.67</v>
      </c>
      <c r="K15" s="528">
        <f>I15</f>
        <v>302667.49</v>
      </c>
      <c r="L15" s="451"/>
      <c r="M15" s="259">
        <v>265077.52</v>
      </c>
      <c r="N15" s="285"/>
      <c r="O15" s="448"/>
    </row>
    <row r="16" spans="1:15" ht="52" customHeight="1" x14ac:dyDescent="0.2">
      <c r="A16" s="13" t="s">
        <v>32</v>
      </c>
      <c r="B16" s="220" t="s">
        <v>33</v>
      </c>
      <c r="C16" s="14">
        <v>52</v>
      </c>
      <c r="D16" s="15" t="s">
        <v>15</v>
      </c>
      <c r="E16" s="246" t="s">
        <v>16</v>
      </c>
      <c r="F16" s="15" t="s">
        <v>17</v>
      </c>
      <c r="G16" s="16">
        <v>1343</v>
      </c>
      <c r="H16" s="16">
        <f>2.5*1.2</f>
        <v>3</v>
      </c>
      <c r="I16" s="268">
        <f t="shared" si="7"/>
        <v>209508</v>
      </c>
      <c r="J16" s="268">
        <f t="shared" si="8"/>
        <v>209.51</v>
      </c>
      <c r="K16" s="527">
        <f>I16</f>
        <v>209508</v>
      </c>
      <c r="L16" s="451"/>
      <c r="M16" s="365">
        <v>211378.2</v>
      </c>
      <c r="N16" s="285"/>
      <c r="O16" s="448"/>
    </row>
    <row r="17" spans="1:15" ht="52" customHeight="1" x14ac:dyDescent="0.2">
      <c r="A17" s="25"/>
      <c r="B17" s="229" t="s">
        <v>34</v>
      </c>
      <c r="C17" s="22">
        <v>24</v>
      </c>
      <c r="D17" s="19" t="s">
        <v>15</v>
      </c>
      <c r="E17" s="248" t="s">
        <v>16</v>
      </c>
      <c r="F17" s="23" t="s">
        <v>17</v>
      </c>
      <c r="G17" s="24">
        <v>378.4</v>
      </c>
      <c r="H17" s="24">
        <v>3</v>
      </c>
      <c r="I17" s="271">
        <f t="shared" si="7"/>
        <v>27244.799999999999</v>
      </c>
      <c r="J17" s="271">
        <f t="shared" si="8"/>
        <v>27.24</v>
      </c>
      <c r="K17" s="501">
        <f>I17</f>
        <v>27244.799999999999</v>
      </c>
      <c r="L17" s="369" t="s">
        <v>588</v>
      </c>
      <c r="M17" s="367" t="s">
        <v>588</v>
      </c>
      <c r="N17" s="367" t="s">
        <v>588</v>
      </c>
      <c r="O17" s="449"/>
    </row>
    <row r="18" spans="1:15" ht="52" customHeight="1" x14ac:dyDescent="0.2">
      <c r="A18" s="13"/>
      <c r="B18" s="230" t="s">
        <v>35</v>
      </c>
      <c r="C18" s="14">
        <v>2</v>
      </c>
      <c r="D18" s="26" t="s">
        <v>15</v>
      </c>
      <c r="E18" s="249" t="s">
        <v>36</v>
      </c>
      <c r="F18" s="26" t="s">
        <v>37</v>
      </c>
      <c r="G18" s="27">
        <v>16</v>
      </c>
      <c r="H18" s="27">
        <f t="shared" ref="H18:H19" si="9">79.02</f>
        <v>79.02</v>
      </c>
      <c r="I18" s="272">
        <f t="shared" si="7"/>
        <v>2528.64</v>
      </c>
      <c r="J18" s="272">
        <f t="shared" si="8"/>
        <v>2.5299999999999998</v>
      </c>
      <c r="K18" s="527">
        <f>I18</f>
        <v>2528.64</v>
      </c>
      <c r="L18" s="456" t="s">
        <v>589</v>
      </c>
      <c r="M18" s="365">
        <v>2106.6</v>
      </c>
      <c r="N18" s="285">
        <f t="shared" si="4"/>
        <v>2527.9199999999996</v>
      </c>
      <c r="O18" s="447" t="s">
        <v>651</v>
      </c>
    </row>
    <row r="19" spans="1:15" ht="52" customHeight="1" x14ac:dyDescent="0.2">
      <c r="A19" s="17"/>
      <c r="B19" s="231" t="s">
        <v>35</v>
      </c>
      <c r="C19" s="22">
        <v>10</v>
      </c>
      <c r="D19" s="23" t="s">
        <v>15</v>
      </c>
      <c r="E19" s="248" t="s">
        <v>36</v>
      </c>
      <c r="F19" s="23" t="s">
        <v>37</v>
      </c>
      <c r="G19" s="24">
        <v>16</v>
      </c>
      <c r="H19" s="24">
        <f t="shared" si="9"/>
        <v>79.02</v>
      </c>
      <c r="I19" s="271">
        <f t="shared" si="7"/>
        <v>12643.2</v>
      </c>
      <c r="J19" s="271">
        <f t="shared" si="8"/>
        <v>12.64</v>
      </c>
      <c r="K19" s="527">
        <f t="shared" ref="K19:K21" si="10">I19</f>
        <v>12643.2</v>
      </c>
      <c r="L19" s="451"/>
      <c r="M19" s="365">
        <v>10532.98</v>
      </c>
      <c r="N19" s="285">
        <f t="shared" si="4"/>
        <v>12639.575999999999</v>
      </c>
      <c r="O19" s="448"/>
    </row>
    <row r="20" spans="1:15" ht="52" customHeight="1" x14ac:dyDescent="0.2">
      <c r="A20" s="13"/>
      <c r="B20" s="230" t="s">
        <v>38</v>
      </c>
      <c r="C20" s="14">
        <v>2</v>
      </c>
      <c r="D20" s="26" t="s">
        <v>15</v>
      </c>
      <c r="E20" s="249" t="s">
        <v>36</v>
      </c>
      <c r="F20" s="26" t="s">
        <v>37</v>
      </c>
      <c r="G20" s="27">
        <f>5*21</f>
        <v>105</v>
      </c>
      <c r="H20" s="27">
        <v>67</v>
      </c>
      <c r="I20" s="272">
        <f t="shared" si="7"/>
        <v>14070</v>
      </c>
      <c r="J20" s="272">
        <f t="shared" si="8"/>
        <v>14.07</v>
      </c>
      <c r="K20" s="527">
        <f t="shared" si="10"/>
        <v>14070</v>
      </c>
      <c r="L20" s="451"/>
      <c r="M20" s="365">
        <v>13824.57</v>
      </c>
      <c r="N20" s="285">
        <f t="shared" si="4"/>
        <v>16589.484</v>
      </c>
      <c r="O20" s="449"/>
    </row>
    <row r="21" spans="1:15" ht="52" customHeight="1" x14ac:dyDescent="0.2">
      <c r="A21" s="28" t="s">
        <v>39</v>
      </c>
      <c r="B21" s="232" t="s">
        <v>40</v>
      </c>
      <c r="C21" s="29">
        <v>2</v>
      </c>
      <c r="D21" s="26" t="s">
        <v>15</v>
      </c>
      <c r="E21" s="249" t="s">
        <v>16</v>
      </c>
      <c r="F21" s="26" t="s">
        <v>17</v>
      </c>
      <c r="G21" s="27">
        <f>22*4*2</f>
        <v>176</v>
      </c>
      <c r="H21" s="27">
        <f>8.6*1.2</f>
        <v>10.319999999999999</v>
      </c>
      <c r="I21" s="272">
        <f t="shared" si="7"/>
        <v>3632.64</v>
      </c>
      <c r="J21" s="272">
        <f t="shared" si="8"/>
        <v>3.63</v>
      </c>
      <c r="K21" s="527">
        <f t="shared" si="10"/>
        <v>3632.64</v>
      </c>
      <c r="L21" s="451"/>
      <c r="M21" s="370">
        <f>4627.29+3055.8</f>
        <v>7683.09</v>
      </c>
      <c r="N21" s="285">
        <f t="shared" si="4"/>
        <v>9219.7080000000005</v>
      </c>
      <c r="O21" s="288" t="s">
        <v>673</v>
      </c>
    </row>
    <row r="22" spans="1:15" ht="52" customHeight="1" x14ac:dyDescent="0.2">
      <c r="A22" s="17" t="s">
        <v>41</v>
      </c>
      <c r="B22" s="228" t="s">
        <v>42</v>
      </c>
      <c r="C22" s="18"/>
      <c r="D22" s="19"/>
      <c r="E22" s="247" t="s">
        <v>16</v>
      </c>
      <c r="F22" s="19"/>
      <c r="G22" s="20"/>
      <c r="H22" s="20"/>
      <c r="I22" s="270">
        <f t="shared" ref="I22:K22" si="11">SUM(I23:I41)</f>
        <v>1207358.5600000003</v>
      </c>
      <c r="J22" s="270">
        <f t="shared" si="11"/>
        <v>1207.3499999999999</v>
      </c>
      <c r="K22" s="504">
        <f t="shared" si="11"/>
        <v>801372.59600000002</v>
      </c>
      <c r="L22" s="366"/>
      <c r="M22" s="284"/>
      <c r="N22" s="285">
        <f t="shared" si="4"/>
        <v>0</v>
      </c>
      <c r="O22" s="287"/>
    </row>
    <row r="23" spans="1:15" ht="52" customHeight="1" x14ac:dyDescent="0.2">
      <c r="A23" s="13" t="s">
        <v>43</v>
      </c>
      <c r="B23" s="220" t="s">
        <v>44</v>
      </c>
      <c r="C23" s="14">
        <v>1</v>
      </c>
      <c r="D23" s="15" t="s">
        <v>15</v>
      </c>
      <c r="E23" s="246" t="s">
        <v>16</v>
      </c>
      <c r="F23" s="15" t="s">
        <v>17</v>
      </c>
      <c r="G23" s="16">
        <v>23194</v>
      </c>
      <c r="H23" s="16">
        <f t="shared" ref="H23:H24" si="12">2.87*1.2</f>
        <v>3.444</v>
      </c>
      <c r="I23" s="268">
        <f t="shared" ref="I23:I41" si="13">ROUND(G23*H23*C23,2)</f>
        <v>79880.14</v>
      </c>
      <c r="J23" s="268">
        <f t="shared" ref="J23:J41" si="14">ROUND(I23/1000,2)</f>
        <v>79.88</v>
      </c>
      <c r="K23" s="506">
        <f>M23</f>
        <v>48828.27</v>
      </c>
      <c r="L23" s="459" t="s">
        <v>593</v>
      </c>
      <c r="M23" s="370">
        <v>48828.27</v>
      </c>
      <c r="N23" s="285">
        <f t="shared" si="4"/>
        <v>58593.923999999992</v>
      </c>
      <c r="O23" s="447" t="s">
        <v>603</v>
      </c>
    </row>
    <row r="24" spans="1:15" ht="52" customHeight="1" x14ac:dyDescent="0.2">
      <c r="A24" s="25"/>
      <c r="B24" s="229" t="s">
        <v>44</v>
      </c>
      <c r="C24" s="22">
        <v>11</v>
      </c>
      <c r="D24" s="23" t="s">
        <v>15</v>
      </c>
      <c r="E24" s="248" t="s">
        <v>16</v>
      </c>
      <c r="F24" s="23" t="s">
        <v>17</v>
      </c>
      <c r="G24" s="24">
        <v>23194</v>
      </c>
      <c r="H24" s="24">
        <f t="shared" si="12"/>
        <v>3.444</v>
      </c>
      <c r="I24" s="271">
        <f t="shared" si="13"/>
        <v>878681.5</v>
      </c>
      <c r="J24" s="271">
        <f t="shared" si="14"/>
        <v>878.68</v>
      </c>
      <c r="K24" s="506">
        <f>M24</f>
        <v>536011.01</v>
      </c>
      <c r="L24" s="449"/>
      <c r="M24" s="370">
        <v>536011.01</v>
      </c>
      <c r="N24" s="285">
        <f t="shared" si="4"/>
        <v>643213.21199999994</v>
      </c>
      <c r="O24" s="448"/>
    </row>
    <row r="25" spans="1:15" ht="52" customHeight="1" x14ac:dyDescent="0.2">
      <c r="A25" s="13" t="s">
        <v>45</v>
      </c>
      <c r="B25" s="220" t="s">
        <v>46</v>
      </c>
      <c r="C25" s="260">
        <v>1</v>
      </c>
      <c r="D25" s="15" t="s">
        <v>15</v>
      </c>
      <c r="E25" s="246" t="s">
        <v>16</v>
      </c>
      <c r="F25" s="15" t="s">
        <v>25</v>
      </c>
      <c r="G25" s="16">
        <v>500</v>
      </c>
      <c r="H25" s="16">
        <f t="shared" ref="H25:H26" si="15">1.79*1.2</f>
        <v>2.1480000000000001</v>
      </c>
      <c r="I25" s="268">
        <f t="shared" si="13"/>
        <v>1074</v>
      </c>
      <c r="J25" s="268">
        <f t="shared" si="14"/>
        <v>1.07</v>
      </c>
      <c r="K25" s="506">
        <v>0</v>
      </c>
      <c r="L25" s="458" t="s">
        <v>616</v>
      </c>
      <c r="M25" s="370" t="s">
        <v>588</v>
      </c>
      <c r="N25" s="370" t="s">
        <v>588</v>
      </c>
      <c r="O25" s="448"/>
    </row>
    <row r="26" spans="1:15" ht="52" customHeight="1" x14ac:dyDescent="0.2">
      <c r="A26" s="25"/>
      <c r="B26" s="229" t="s">
        <v>46</v>
      </c>
      <c r="C26" s="261">
        <v>12</v>
      </c>
      <c r="D26" s="23" t="s">
        <v>15</v>
      </c>
      <c r="E26" s="248" t="s">
        <v>16</v>
      </c>
      <c r="F26" s="23" t="s">
        <v>25</v>
      </c>
      <c r="G26" s="24">
        <v>500</v>
      </c>
      <c r="H26" s="24">
        <f t="shared" si="15"/>
        <v>2.1480000000000001</v>
      </c>
      <c r="I26" s="271">
        <f t="shared" si="13"/>
        <v>12888</v>
      </c>
      <c r="J26" s="271">
        <f t="shared" si="14"/>
        <v>12.89</v>
      </c>
      <c r="K26" s="505">
        <f>I26</f>
        <v>12888</v>
      </c>
      <c r="L26" s="449"/>
      <c r="M26" s="370" t="s">
        <v>588</v>
      </c>
      <c r="N26" s="370" t="s">
        <v>588</v>
      </c>
      <c r="O26" s="448"/>
    </row>
    <row r="27" spans="1:15" ht="52" customHeight="1" x14ac:dyDescent="0.2">
      <c r="A27" s="28" t="s">
        <v>47</v>
      </c>
      <c r="B27" s="232" t="s">
        <v>48</v>
      </c>
      <c r="C27" s="14">
        <v>2</v>
      </c>
      <c r="D27" s="26" t="s">
        <v>15</v>
      </c>
      <c r="E27" s="246" t="s">
        <v>16</v>
      </c>
      <c r="F27" s="26" t="s">
        <v>17</v>
      </c>
      <c r="G27" s="27">
        <f t="shared" ref="G27:G28" si="16">795*1.2</f>
        <v>954</v>
      </c>
      <c r="H27" s="27">
        <f t="shared" ref="H27:H28" si="17">4.18*1.2</f>
        <v>5.0159999999999991</v>
      </c>
      <c r="I27" s="272">
        <f t="shared" si="13"/>
        <v>9570.5300000000007</v>
      </c>
      <c r="J27" s="272">
        <f t="shared" si="14"/>
        <v>9.57</v>
      </c>
      <c r="K27" s="506">
        <f>I27</f>
        <v>9570.5300000000007</v>
      </c>
      <c r="L27" s="459" t="s">
        <v>594</v>
      </c>
      <c r="M27" s="370">
        <v>12359.52</v>
      </c>
      <c r="N27" s="285">
        <f t="shared" si="4"/>
        <v>14831.423999999999</v>
      </c>
      <c r="O27" s="448"/>
    </row>
    <row r="28" spans="1:15" ht="52" customHeight="1" x14ac:dyDescent="0.2">
      <c r="A28" s="30"/>
      <c r="B28" s="229" t="s">
        <v>48</v>
      </c>
      <c r="C28" s="22">
        <v>10</v>
      </c>
      <c r="D28" s="23" t="s">
        <v>15</v>
      </c>
      <c r="E28" s="248" t="s">
        <v>16</v>
      </c>
      <c r="F28" s="23" t="s">
        <v>17</v>
      </c>
      <c r="G28" s="24">
        <f t="shared" si="16"/>
        <v>954</v>
      </c>
      <c r="H28" s="24">
        <f t="shared" si="17"/>
        <v>5.0159999999999991</v>
      </c>
      <c r="I28" s="271">
        <f t="shared" si="13"/>
        <v>47852.639999999999</v>
      </c>
      <c r="J28" s="271">
        <f t="shared" si="14"/>
        <v>47.85</v>
      </c>
      <c r="K28" s="506">
        <f>I28</f>
        <v>47852.639999999999</v>
      </c>
      <c r="L28" s="449"/>
      <c r="M28" s="370">
        <v>61797.64</v>
      </c>
      <c r="N28" s="285">
        <f t="shared" si="4"/>
        <v>74157.167999999991</v>
      </c>
      <c r="O28" s="448"/>
    </row>
    <row r="29" spans="1:15" ht="52" customHeight="1" x14ac:dyDescent="0.2">
      <c r="A29" s="13" t="s">
        <v>49</v>
      </c>
      <c r="B29" s="220" t="s">
        <v>50</v>
      </c>
      <c r="C29" s="14">
        <v>2</v>
      </c>
      <c r="D29" s="15" t="s">
        <v>15</v>
      </c>
      <c r="E29" s="246" t="s">
        <v>16</v>
      </c>
      <c r="F29" s="15" t="s">
        <v>17</v>
      </c>
      <c r="G29" s="16">
        <v>105.6</v>
      </c>
      <c r="H29" s="16">
        <f t="shared" ref="H29:H30" si="18">4.17*1.2</f>
        <v>5.0039999999999996</v>
      </c>
      <c r="I29" s="268">
        <f t="shared" si="13"/>
        <v>1056.8399999999999</v>
      </c>
      <c r="J29" s="268">
        <f t="shared" si="14"/>
        <v>1.06</v>
      </c>
      <c r="K29" s="506">
        <f>N29</f>
        <v>414.23999999999995</v>
      </c>
      <c r="L29" s="459" t="s">
        <v>595</v>
      </c>
      <c r="M29" s="284">
        <v>345.2</v>
      </c>
      <c r="N29" s="285">
        <f t="shared" si="4"/>
        <v>414.23999999999995</v>
      </c>
      <c r="O29" s="448"/>
    </row>
    <row r="30" spans="1:15" ht="52" customHeight="1" x14ac:dyDescent="0.2">
      <c r="A30" s="25"/>
      <c r="B30" s="229" t="s">
        <v>50</v>
      </c>
      <c r="C30" s="22">
        <v>10</v>
      </c>
      <c r="D30" s="23" t="s">
        <v>15</v>
      </c>
      <c r="E30" s="248" t="s">
        <v>16</v>
      </c>
      <c r="F30" s="23" t="s">
        <v>17</v>
      </c>
      <c r="G30" s="24">
        <f>24*4*2.2*0.5</f>
        <v>105.60000000000001</v>
      </c>
      <c r="H30" s="24">
        <f t="shared" si="18"/>
        <v>5.0039999999999996</v>
      </c>
      <c r="I30" s="271">
        <f t="shared" si="13"/>
        <v>5284.22</v>
      </c>
      <c r="J30" s="271">
        <f t="shared" si="14"/>
        <v>5.28</v>
      </c>
      <c r="K30" s="506">
        <f>N30</f>
        <v>2071.1759999999999</v>
      </c>
      <c r="L30" s="449"/>
      <c r="M30" s="365">
        <v>1725.98</v>
      </c>
      <c r="N30" s="285">
        <f t="shared" si="4"/>
        <v>2071.1759999999999</v>
      </c>
      <c r="O30" s="448"/>
    </row>
    <row r="31" spans="1:15" ht="52" customHeight="1" x14ac:dyDescent="0.2">
      <c r="A31" s="13" t="s">
        <v>51</v>
      </c>
      <c r="B31" s="220" t="s">
        <v>52</v>
      </c>
      <c r="C31" s="14">
        <v>2</v>
      </c>
      <c r="D31" s="15" t="s">
        <v>15</v>
      </c>
      <c r="E31" s="246" t="s">
        <v>16</v>
      </c>
      <c r="F31" s="15" t="s">
        <v>37</v>
      </c>
      <c r="G31" s="16">
        <v>4</v>
      </c>
      <c r="H31" s="16">
        <f>623.76/100*1.2</f>
        <v>7.4851199999999993</v>
      </c>
      <c r="I31" s="268">
        <f t="shared" si="13"/>
        <v>59.88</v>
      </c>
      <c r="J31" s="268">
        <f t="shared" si="14"/>
        <v>0.06</v>
      </c>
      <c r="K31" s="529">
        <f>I31</f>
        <v>59.88</v>
      </c>
      <c r="L31" s="457" t="s">
        <v>599</v>
      </c>
      <c r="M31" s="284">
        <f>170.48+65.8</f>
        <v>236.27999999999997</v>
      </c>
      <c r="N31" s="285">
        <f t="shared" si="4"/>
        <v>283.53599999999994</v>
      </c>
      <c r="O31" s="448"/>
    </row>
    <row r="32" spans="1:15" ht="52" customHeight="1" x14ac:dyDescent="0.2">
      <c r="A32" s="13" t="s">
        <v>53</v>
      </c>
      <c r="B32" s="220" t="s">
        <v>54</v>
      </c>
      <c r="C32" s="262">
        <v>1</v>
      </c>
      <c r="D32" s="263" t="s">
        <v>15</v>
      </c>
      <c r="E32" s="263" t="s">
        <v>16</v>
      </c>
      <c r="F32" s="263" t="s">
        <v>17</v>
      </c>
      <c r="G32" s="254">
        <f>6840</f>
        <v>6840</v>
      </c>
      <c r="H32" s="254">
        <f t="shared" ref="H32:H33" si="19">2.69*1.2</f>
        <v>3.2279999999999998</v>
      </c>
      <c r="I32" s="273">
        <f t="shared" si="13"/>
        <v>22079.52</v>
      </c>
      <c r="J32" s="273">
        <f t="shared" si="14"/>
        <v>22.08</v>
      </c>
      <c r="K32" s="506">
        <f>N32</f>
        <v>16825.079999999998</v>
      </c>
      <c r="L32" s="449"/>
      <c r="M32" s="365">
        <v>14020.9</v>
      </c>
      <c r="N32" s="285">
        <f t="shared" si="4"/>
        <v>16825.079999999998</v>
      </c>
      <c r="O32" s="448"/>
    </row>
    <row r="33" spans="1:15" ht="52" customHeight="1" x14ac:dyDescent="0.2">
      <c r="A33" s="25" t="s">
        <v>53</v>
      </c>
      <c r="B33" s="229" t="s">
        <v>54</v>
      </c>
      <c r="C33" s="22">
        <v>1</v>
      </c>
      <c r="D33" s="23" t="s">
        <v>15</v>
      </c>
      <c r="E33" s="248" t="s">
        <v>16</v>
      </c>
      <c r="F33" s="23" t="s">
        <v>17</v>
      </c>
      <c r="G33" s="24">
        <v>6840</v>
      </c>
      <c r="H33" s="24">
        <f t="shared" si="19"/>
        <v>3.2279999999999998</v>
      </c>
      <c r="I33" s="271">
        <f t="shared" si="13"/>
        <v>22079.52</v>
      </c>
      <c r="J33" s="271">
        <f t="shared" si="14"/>
        <v>22.08</v>
      </c>
      <c r="K33" s="506">
        <v>0</v>
      </c>
      <c r="L33" s="371" t="s">
        <v>617</v>
      </c>
      <c r="M33" s="258">
        <v>0</v>
      </c>
      <c r="N33" s="285">
        <f t="shared" si="4"/>
        <v>0</v>
      </c>
      <c r="O33" s="448"/>
    </row>
    <row r="34" spans="1:15" ht="52" customHeight="1" x14ac:dyDescent="0.2">
      <c r="A34" s="13" t="s">
        <v>55</v>
      </c>
      <c r="B34" s="220" t="s">
        <v>56</v>
      </c>
      <c r="C34" s="14">
        <v>2</v>
      </c>
      <c r="D34" s="15" t="s">
        <v>15</v>
      </c>
      <c r="E34" s="246" t="s">
        <v>16</v>
      </c>
      <c r="F34" s="15" t="s">
        <v>17</v>
      </c>
      <c r="G34" s="31">
        <v>52.4</v>
      </c>
      <c r="H34" s="16">
        <f t="shared" ref="H34:H35" si="20">5.17*1.2</f>
        <v>6.2039999999999997</v>
      </c>
      <c r="I34" s="268">
        <f t="shared" si="13"/>
        <v>650.17999999999995</v>
      </c>
      <c r="J34" s="268">
        <f t="shared" si="14"/>
        <v>0.65</v>
      </c>
      <c r="K34" s="501">
        <f>I34</f>
        <v>650.17999999999995</v>
      </c>
      <c r="L34" s="286" t="s">
        <v>588</v>
      </c>
      <c r="M34" s="286" t="s">
        <v>588</v>
      </c>
      <c r="N34" s="432" t="s">
        <v>588</v>
      </c>
      <c r="O34" s="448"/>
    </row>
    <row r="35" spans="1:15" ht="52" customHeight="1" x14ac:dyDescent="0.2">
      <c r="A35" s="25"/>
      <c r="B35" s="229" t="s">
        <v>56</v>
      </c>
      <c r="C35" s="22">
        <v>10</v>
      </c>
      <c r="D35" s="23" t="s">
        <v>15</v>
      </c>
      <c r="E35" s="248" t="s">
        <v>16</v>
      </c>
      <c r="F35" s="23" t="s">
        <v>17</v>
      </c>
      <c r="G35" s="24">
        <v>52.4</v>
      </c>
      <c r="H35" s="24">
        <f t="shared" si="20"/>
        <v>6.2039999999999997</v>
      </c>
      <c r="I35" s="271">
        <f t="shared" si="13"/>
        <v>3250.9</v>
      </c>
      <c r="J35" s="271">
        <f t="shared" si="14"/>
        <v>3.25</v>
      </c>
      <c r="K35" s="501">
        <f>I35</f>
        <v>3250.9</v>
      </c>
      <c r="L35" s="286" t="s">
        <v>588</v>
      </c>
      <c r="M35" s="286" t="s">
        <v>588</v>
      </c>
      <c r="N35" s="432" t="s">
        <v>588</v>
      </c>
      <c r="O35" s="448"/>
    </row>
    <row r="36" spans="1:15" ht="52" customHeight="1" x14ac:dyDescent="0.2">
      <c r="A36" s="13" t="s">
        <v>57</v>
      </c>
      <c r="B36" s="217" t="s">
        <v>58</v>
      </c>
      <c r="C36" s="14">
        <v>4</v>
      </c>
      <c r="D36" s="15" t="s">
        <v>15</v>
      </c>
      <c r="E36" s="246" t="s">
        <v>16</v>
      </c>
      <c r="F36" s="15" t="s">
        <v>17</v>
      </c>
      <c r="G36" s="16">
        <f>48*2</f>
        <v>96</v>
      </c>
      <c r="H36" s="16">
        <f>2.57*1.2</f>
        <v>3.0839999999999996</v>
      </c>
      <c r="I36" s="268">
        <f t="shared" si="13"/>
        <v>1184.26</v>
      </c>
      <c r="J36" s="268">
        <f t="shared" si="14"/>
        <v>1.18</v>
      </c>
      <c r="K36" s="501">
        <f>I36</f>
        <v>1184.26</v>
      </c>
      <c r="L36" s="286" t="s">
        <v>588</v>
      </c>
      <c r="M36" s="286" t="s">
        <v>588</v>
      </c>
      <c r="N36" s="432" t="s">
        <v>588</v>
      </c>
      <c r="O36" s="448"/>
    </row>
    <row r="37" spans="1:15" ht="52" customHeight="1" x14ac:dyDescent="0.2">
      <c r="A37" s="32" t="s">
        <v>59</v>
      </c>
      <c r="B37" s="276" t="s">
        <v>60</v>
      </c>
      <c r="C37" s="29">
        <v>1</v>
      </c>
      <c r="D37" s="26" t="s">
        <v>15</v>
      </c>
      <c r="E37" s="249" t="s">
        <v>16</v>
      </c>
      <c r="F37" s="26" t="s">
        <v>17</v>
      </c>
      <c r="G37" s="27">
        <v>1570</v>
      </c>
      <c r="H37" s="27">
        <f>719.14/100*1.2</f>
        <v>8.6296799999999987</v>
      </c>
      <c r="I37" s="272">
        <f t="shared" si="13"/>
        <v>13548.6</v>
      </c>
      <c r="J37" s="272">
        <f t="shared" si="14"/>
        <v>13.55</v>
      </c>
      <c r="K37" s="501">
        <f t="shared" ref="K37:K41" si="21">I37</f>
        <v>13548.6</v>
      </c>
      <c r="L37" s="286" t="s">
        <v>588</v>
      </c>
      <c r="M37" s="286" t="s">
        <v>588</v>
      </c>
      <c r="N37" s="432" t="s">
        <v>588</v>
      </c>
      <c r="O37" s="448"/>
    </row>
    <row r="38" spans="1:15" ht="52" customHeight="1" x14ac:dyDescent="0.2">
      <c r="A38" s="33" t="s">
        <v>59</v>
      </c>
      <c r="B38" s="220" t="s">
        <v>61</v>
      </c>
      <c r="C38" s="14">
        <v>24</v>
      </c>
      <c r="D38" s="15" t="s">
        <v>15</v>
      </c>
      <c r="E38" s="246" t="s">
        <v>16</v>
      </c>
      <c r="F38" s="15" t="s">
        <v>17</v>
      </c>
      <c r="G38" s="16">
        <v>41</v>
      </c>
      <c r="H38" s="16">
        <f t="shared" ref="H38:H39" si="22">2.09*1.2</f>
        <v>2.5079999999999996</v>
      </c>
      <c r="I38" s="268">
        <f t="shared" si="13"/>
        <v>2467.87</v>
      </c>
      <c r="J38" s="268">
        <f t="shared" si="14"/>
        <v>2.4700000000000002</v>
      </c>
      <c r="K38" s="501">
        <f t="shared" si="21"/>
        <v>2467.87</v>
      </c>
      <c r="L38" s="286" t="s">
        <v>588</v>
      </c>
      <c r="M38" s="286" t="s">
        <v>588</v>
      </c>
      <c r="N38" s="432" t="s">
        <v>588</v>
      </c>
      <c r="O38" s="448"/>
    </row>
    <row r="39" spans="1:15" ht="52" customHeight="1" x14ac:dyDescent="0.2">
      <c r="A39" s="34" t="s">
        <v>62</v>
      </c>
      <c r="B39" s="229" t="s">
        <v>61</v>
      </c>
      <c r="C39" s="22">
        <f>52*2-24</f>
        <v>80</v>
      </c>
      <c r="D39" s="23" t="s">
        <v>15</v>
      </c>
      <c r="E39" s="248" t="s">
        <v>16</v>
      </c>
      <c r="F39" s="23" t="s">
        <v>17</v>
      </c>
      <c r="G39" s="24">
        <v>41</v>
      </c>
      <c r="H39" s="24">
        <f t="shared" si="22"/>
        <v>2.5079999999999996</v>
      </c>
      <c r="I39" s="271">
        <f t="shared" si="13"/>
        <v>8226.24</v>
      </c>
      <c r="J39" s="271">
        <f t="shared" si="14"/>
        <v>8.23</v>
      </c>
      <c r="K39" s="501">
        <f t="shared" si="21"/>
        <v>8226.24</v>
      </c>
      <c r="L39" s="286" t="s">
        <v>588</v>
      </c>
      <c r="M39" s="286" t="s">
        <v>588</v>
      </c>
      <c r="N39" s="432" t="s">
        <v>588</v>
      </c>
      <c r="O39" s="448"/>
    </row>
    <row r="40" spans="1:15" ht="52" customHeight="1" x14ac:dyDescent="0.2">
      <c r="A40" s="34"/>
      <c r="B40" s="229" t="s">
        <v>63</v>
      </c>
      <c r="C40" s="35">
        <v>52</v>
      </c>
      <c r="D40" s="23" t="s">
        <v>15</v>
      </c>
      <c r="E40" s="248" t="s">
        <v>16</v>
      </c>
      <c r="F40" s="23" t="s">
        <v>17</v>
      </c>
      <c r="G40" s="24">
        <f t="shared" ref="G40:G41" si="23">12*4.4*4</f>
        <v>211.20000000000002</v>
      </c>
      <c r="H40" s="24">
        <f t="shared" ref="H40:H41" si="24">3.7*1.2</f>
        <v>4.4400000000000004</v>
      </c>
      <c r="I40" s="271">
        <f t="shared" si="13"/>
        <v>48761.86</v>
      </c>
      <c r="J40" s="271">
        <f t="shared" si="14"/>
        <v>48.76</v>
      </c>
      <c r="K40" s="501">
        <f t="shared" si="21"/>
        <v>48761.86</v>
      </c>
      <c r="L40" s="286" t="s">
        <v>588</v>
      </c>
      <c r="M40" s="286" t="s">
        <v>588</v>
      </c>
      <c r="N40" s="432" t="s">
        <v>588</v>
      </c>
      <c r="O40" s="448"/>
    </row>
    <row r="41" spans="1:15" ht="52" customHeight="1" x14ac:dyDescent="0.2">
      <c r="A41" s="33" t="s">
        <v>62</v>
      </c>
      <c r="B41" s="220" t="s">
        <v>63</v>
      </c>
      <c r="C41" s="36">
        <v>52</v>
      </c>
      <c r="D41" s="15" t="s">
        <v>15</v>
      </c>
      <c r="E41" s="246" t="s">
        <v>16</v>
      </c>
      <c r="F41" s="15" t="s">
        <v>17</v>
      </c>
      <c r="G41" s="16">
        <f t="shared" si="23"/>
        <v>211.20000000000002</v>
      </c>
      <c r="H41" s="16">
        <f t="shared" si="24"/>
        <v>4.4400000000000004</v>
      </c>
      <c r="I41" s="268">
        <f t="shared" si="13"/>
        <v>48761.86</v>
      </c>
      <c r="J41" s="268">
        <f t="shared" si="14"/>
        <v>48.76</v>
      </c>
      <c r="K41" s="501">
        <f t="shared" si="21"/>
        <v>48761.86</v>
      </c>
      <c r="L41" s="286" t="s">
        <v>588</v>
      </c>
      <c r="M41" s="286" t="s">
        <v>588</v>
      </c>
      <c r="N41" s="432" t="s">
        <v>588</v>
      </c>
      <c r="O41" s="448"/>
    </row>
    <row r="42" spans="1:15" ht="52" customHeight="1" x14ac:dyDescent="0.2">
      <c r="A42" s="37" t="s">
        <v>64</v>
      </c>
      <c r="B42" s="233" t="s">
        <v>65</v>
      </c>
      <c r="C42" s="38"/>
      <c r="D42" s="19"/>
      <c r="E42" s="247" t="s">
        <v>16</v>
      </c>
      <c r="F42" s="19"/>
      <c r="G42" s="20"/>
      <c r="H42" s="20"/>
      <c r="I42" s="270">
        <f t="shared" ref="I42:K42" si="25">SUM(I43:I44)</f>
        <v>64677.65</v>
      </c>
      <c r="J42" s="270">
        <f>SUM(J43:J44)</f>
        <v>64.680000000000007</v>
      </c>
      <c r="K42" s="521">
        <f t="shared" si="25"/>
        <v>16080.53</v>
      </c>
      <c r="L42" s="372"/>
      <c r="M42" s="373"/>
      <c r="N42" s="374"/>
      <c r="O42" s="426"/>
    </row>
    <row r="43" spans="1:15" ht="52" customHeight="1" x14ac:dyDescent="0.2">
      <c r="A43" s="33" t="s">
        <v>66</v>
      </c>
      <c r="B43" s="234" t="s">
        <v>67</v>
      </c>
      <c r="C43" s="36">
        <v>1</v>
      </c>
      <c r="D43" s="15" t="s">
        <v>15</v>
      </c>
      <c r="E43" s="246" t="s">
        <v>16</v>
      </c>
      <c r="F43" s="15" t="s">
        <v>17</v>
      </c>
      <c r="G43" s="16">
        <v>6536.8</v>
      </c>
      <c r="H43" s="16">
        <f>2.05*1.2</f>
        <v>2.4599999999999995</v>
      </c>
      <c r="I43" s="268">
        <f t="shared" ref="I43:I44" si="26">ROUND(G43*H43*C43,2)</f>
        <v>16080.53</v>
      </c>
      <c r="J43" s="268">
        <f t="shared" ref="J43:J44" si="27">ROUND(I43/1000,2)</f>
        <v>16.079999999999998</v>
      </c>
      <c r="K43" s="501">
        <f>I43</f>
        <v>16080.53</v>
      </c>
      <c r="L43" s="286" t="s">
        <v>588</v>
      </c>
      <c r="M43" s="286" t="s">
        <v>588</v>
      </c>
      <c r="N43" s="432" t="s">
        <v>588</v>
      </c>
      <c r="O43" s="427" t="s">
        <v>603</v>
      </c>
    </row>
    <row r="44" spans="1:15" ht="52" customHeight="1" x14ac:dyDescent="0.2">
      <c r="A44" s="33" t="s">
        <v>68</v>
      </c>
      <c r="B44" s="278" t="s">
        <v>69</v>
      </c>
      <c r="C44" s="279">
        <v>10</v>
      </c>
      <c r="D44" s="280" t="s">
        <v>70</v>
      </c>
      <c r="E44" s="281" t="s">
        <v>16</v>
      </c>
      <c r="F44" s="281" t="s">
        <v>17</v>
      </c>
      <c r="G44" s="282">
        <v>528</v>
      </c>
      <c r="H44" s="282">
        <f>7.67*1.2</f>
        <v>9.2039999999999988</v>
      </c>
      <c r="I44" s="277">
        <f t="shared" si="26"/>
        <v>48597.120000000003</v>
      </c>
      <c r="J44" s="277">
        <f t="shared" si="27"/>
        <v>48.6</v>
      </c>
      <c r="K44" s="519"/>
      <c r="L44" s="375" t="s">
        <v>600</v>
      </c>
      <c r="M44" s="258" t="s">
        <v>601</v>
      </c>
      <c r="N44" s="258" t="s">
        <v>601</v>
      </c>
      <c r="O44" s="258" t="s">
        <v>601</v>
      </c>
    </row>
    <row r="45" spans="1:15" ht="52" customHeight="1" x14ac:dyDescent="0.2">
      <c r="A45" s="21" t="s">
        <v>71</v>
      </c>
      <c r="B45" s="235" t="s">
        <v>72</v>
      </c>
      <c r="C45" s="18"/>
      <c r="D45" s="40"/>
      <c r="E45" s="250"/>
      <c r="F45" s="19"/>
      <c r="G45" s="20"/>
      <c r="H45" s="20"/>
      <c r="I45" s="270">
        <f t="shared" ref="I45:K45" si="28">I46+I47+I48</f>
        <v>435136.27</v>
      </c>
      <c r="J45" s="270">
        <f t="shared" si="28"/>
        <v>435.14000000000004</v>
      </c>
      <c r="K45" s="521">
        <f t="shared" si="28"/>
        <v>24228.27</v>
      </c>
      <c r="L45" s="376"/>
      <c r="M45" s="373"/>
      <c r="N45" s="374"/>
      <c r="O45" s="428"/>
    </row>
    <row r="46" spans="1:15" ht="52" customHeight="1" x14ac:dyDescent="0.2">
      <c r="A46" s="13" t="s">
        <v>73</v>
      </c>
      <c r="B46" s="242" t="s">
        <v>74</v>
      </c>
      <c r="C46" s="14">
        <v>2</v>
      </c>
      <c r="D46" s="15" t="s">
        <v>15</v>
      </c>
      <c r="E46" s="246" t="s">
        <v>16</v>
      </c>
      <c r="F46" s="15" t="s">
        <v>17</v>
      </c>
      <c r="G46" s="27">
        <f>3883.9+52.8</f>
        <v>3936.7000000000003</v>
      </c>
      <c r="H46" s="16">
        <f>2.05*1.2</f>
        <v>2.4599999999999995</v>
      </c>
      <c r="I46" s="268">
        <f t="shared" ref="I46:I48" si="29">ROUND(G46*H46*C46,2)</f>
        <v>19368.560000000001</v>
      </c>
      <c r="J46" s="268">
        <f t="shared" ref="J46:J48" si="30">ROUND(I46/1000,2)</f>
        <v>19.37</v>
      </c>
      <c r="K46" s="501">
        <f>I46</f>
        <v>19368.560000000001</v>
      </c>
      <c r="L46" s="352" t="s">
        <v>602</v>
      </c>
      <c r="M46" s="365">
        <v>57048.46</v>
      </c>
      <c r="N46" s="285">
        <f t="shared" si="4"/>
        <v>68458.152000000002</v>
      </c>
      <c r="O46" s="288" t="s">
        <v>603</v>
      </c>
    </row>
    <row r="47" spans="1:15" ht="52" customHeight="1" x14ac:dyDescent="0.2">
      <c r="A47" s="13" t="s">
        <v>75</v>
      </c>
      <c r="B47" s="220" t="s">
        <v>69</v>
      </c>
      <c r="C47" s="14">
        <v>10</v>
      </c>
      <c r="D47" s="39" t="s">
        <v>70</v>
      </c>
      <c r="E47" s="246" t="s">
        <v>16</v>
      </c>
      <c r="F47" s="15" t="s">
        <v>17</v>
      </c>
      <c r="G47" s="16">
        <v>52.8</v>
      </c>
      <c r="H47" s="16">
        <f>7.67*1.2</f>
        <v>9.2039999999999988</v>
      </c>
      <c r="I47" s="268">
        <f t="shared" si="29"/>
        <v>4859.71</v>
      </c>
      <c r="J47" s="268">
        <f t="shared" si="30"/>
        <v>4.8600000000000003</v>
      </c>
      <c r="K47" s="530">
        <f>I47</f>
        <v>4859.71</v>
      </c>
      <c r="L47" s="352"/>
      <c r="M47" s="377">
        <v>4775.38</v>
      </c>
      <c r="N47" s="285">
        <f t="shared" si="4"/>
        <v>5730.4560000000001</v>
      </c>
      <c r="O47" s="447" t="s">
        <v>603</v>
      </c>
    </row>
    <row r="48" spans="1:15" ht="52" customHeight="1" x14ac:dyDescent="0.2">
      <c r="A48" s="13" t="s">
        <v>76</v>
      </c>
      <c r="B48" s="220" t="s">
        <v>77</v>
      </c>
      <c r="C48" s="14">
        <v>10</v>
      </c>
      <c r="D48" s="39" t="s">
        <v>70</v>
      </c>
      <c r="E48" s="246" t="s">
        <v>16</v>
      </c>
      <c r="F48" s="15" t="s">
        <v>17</v>
      </c>
      <c r="G48" s="31">
        <v>3523.2</v>
      </c>
      <c r="H48" s="16">
        <f>971.91/100*1.2</f>
        <v>11.662919999999998</v>
      </c>
      <c r="I48" s="268">
        <f t="shared" si="29"/>
        <v>410908</v>
      </c>
      <c r="J48" s="268">
        <f t="shared" si="30"/>
        <v>410.91</v>
      </c>
      <c r="K48" s="519">
        <v>0</v>
      </c>
      <c r="L48" s="352" t="s">
        <v>653</v>
      </c>
      <c r="M48" s="258" t="s">
        <v>601</v>
      </c>
      <c r="N48" s="389" t="s">
        <v>601</v>
      </c>
      <c r="O48" s="449"/>
    </row>
    <row r="49" spans="1:16" ht="52" customHeight="1" x14ac:dyDescent="0.2">
      <c r="A49" s="21" t="s">
        <v>71</v>
      </c>
      <c r="B49" s="241" t="str">
        <f ca="1">$B$49</f>
        <v>Смена частей водосточных труб и прочистка внутреннего водостока</v>
      </c>
      <c r="C49" s="18"/>
      <c r="D49" s="19"/>
      <c r="E49" s="247"/>
      <c r="F49" s="19"/>
      <c r="G49" s="20"/>
      <c r="H49" s="20"/>
      <c r="I49" s="270">
        <f t="shared" ref="I49:K49" si="31">SUM(I50:I55)</f>
        <v>27871.05</v>
      </c>
      <c r="J49" s="270">
        <f t="shared" si="31"/>
        <v>27.869999999999997</v>
      </c>
      <c r="K49" s="521">
        <f t="shared" si="31"/>
        <v>27871.05</v>
      </c>
      <c r="L49" s="378"/>
      <c r="M49" s="284"/>
      <c r="N49" s="285">
        <f t="shared" si="4"/>
        <v>0</v>
      </c>
      <c r="O49" s="288"/>
    </row>
    <row r="50" spans="1:16" ht="52" customHeight="1" x14ac:dyDescent="0.2">
      <c r="A50" s="13" t="s">
        <v>73</v>
      </c>
      <c r="B50" s="220" t="s">
        <v>78</v>
      </c>
      <c r="C50" s="14">
        <v>1</v>
      </c>
      <c r="D50" s="15" t="s">
        <v>15</v>
      </c>
      <c r="E50" s="246" t="s">
        <v>16</v>
      </c>
      <c r="F50" s="15"/>
      <c r="G50" s="16"/>
      <c r="H50" s="16">
        <v>0</v>
      </c>
      <c r="I50" s="268">
        <f t="shared" ref="I50:I55" si="32">ROUND(G50*H50*C50,2)</f>
        <v>0</v>
      </c>
      <c r="J50" s="268">
        <f t="shared" ref="J50:J54" si="33">ROUND(I50/1000,2)</f>
        <v>0</v>
      </c>
      <c r="K50" s="519"/>
      <c r="L50" s="379"/>
      <c r="M50" s="284">
        <v>0</v>
      </c>
      <c r="N50" s="285">
        <f t="shared" si="4"/>
        <v>0</v>
      </c>
      <c r="O50" s="288"/>
    </row>
    <row r="51" spans="1:16" ht="52" customHeight="1" x14ac:dyDescent="0.2">
      <c r="A51" s="13" t="s">
        <v>79</v>
      </c>
      <c r="B51" s="220" t="s">
        <v>80</v>
      </c>
      <c r="C51" s="14">
        <v>4</v>
      </c>
      <c r="D51" s="39" t="s">
        <v>81</v>
      </c>
      <c r="E51" s="246" t="s">
        <v>16</v>
      </c>
      <c r="F51" s="15" t="s">
        <v>25</v>
      </c>
      <c r="G51" s="16">
        <v>18</v>
      </c>
      <c r="H51" s="16">
        <f>45.61*1.2</f>
        <v>54.731999999999999</v>
      </c>
      <c r="I51" s="268">
        <f t="shared" si="32"/>
        <v>3940.7</v>
      </c>
      <c r="J51" s="268">
        <f t="shared" si="33"/>
        <v>3.94</v>
      </c>
      <c r="K51" s="501">
        <f>I51</f>
        <v>3940.7</v>
      </c>
      <c r="L51" s="380" t="s">
        <v>588</v>
      </c>
      <c r="M51" s="367" t="s">
        <v>588</v>
      </c>
      <c r="N51" s="367" t="s">
        <v>588</v>
      </c>
      <c r="O51" s="447" t="s">
        <v>603</v>
      </c>
    </row>
    <row r="52" spans="1:16" ht="52" customHeight="1" x14ac:dyDescent="0.2">
      <c r="A52" s="13"/>
      <c r="B52" s="220" t="s">
        <v>82</v>
      </c>
      <c r="C52" s="14">
        <v>4</v>
      </c>
      <c r="D52" s="39" t="s">
        <v>81</v>
      </c>
      <c r="E52" s="246" t="s">
        <v>16</v>
      </c>
      <c r="F52" s="15" t="s">
        <v>25</v>
      </c>
      <c r="G52" s="16">
        <v>18</v>
      </c>
      <c r="H52" s="16">
        <f>68.43*1.2</f>
        <v>82.116</v>
      </c>
      <c r="I52" s="268">
        <f t="shared" si="32"/>
        <v>5912.35</v>
      </c>
      <c r="J52" s="268">
        <f t="shared" si="33"/>
        <v>5.91</v>
      </c>
      <c r="K52" s="501">
        <f>I52</f>
        <v>5912.35</v>
      </c>
      <c r="L52" s="380" t="s">
        <v>588</v>
      </c>
      <c r="M52" s="367" t="s">
        <v>588</v>
      </c>
      <c r="N52" s="367" t="s">
        <v>588</v>
      </c>
      <c r="O52" s="448"/>
    </row>
    <row r="53" spans="1:16" ht="52" customHeight="1" x14ac:dyDescent="0.2">
      <c r="A53" s="17" t="s">
        <v>83</v>
      </c>
      <c r="B53" s="227" t="s">
        <v>84</v>
      </c>
      <c r="C53" s="18">
        <v>365</v>
      </c>
      <c r="D53" s="40" t="s">
        <v>22</v>
      </c>
      <c r="E53" s="247" t="s">
        <v>16</v>
      </c>
      <c r="F53" s="19" t="s">
        <v>17</v>
      </c>
      <c r="G53" s="20"/>
      <c r="H53" s="20">
        <f>8.15*1.2</f>
        <v>9.7799999999999994</v>
      </c>
      <c r="I53" s="269">
        <f t="shared" si="32"/>
        <v>0</v>
      </c>
      <c r="J53" s="269">
        <f t="shared" si="33"/>
        <v>0</v>
      </c>
      <c r="K53" s="519"/>
      <c r="L53" s="380" t="s">
        <v>588</v>
      </c>
      <c r="M53" s="367" t="s">
        <v>588</v>
      </c>
      <c r="N53" s="367" t="s">
        <v>588</v>
      </c>
      <c r="O53" s="448"/>
    </row>
    <row r="54" spans="1:16" ht="52" customHeight="1" x14ac:dyDescent="0.2">
      <c r="A54" s="13" t="s">
        <v>85</v>
      </c>
      <c r="B54" s="220" t="s">
        <v>86</v>
      </c>
      <c r="C54" s="14">
        <v>1</v>
      </c>
      <c r="D54" s="39" t="s">
        <v>81</v>
      </c>
      <c r="E54" s="246" t="s">
        <v>16</v>
      </c>
      <c r="F54" s="15" t="s">
        <v>87</v>
      </c>
      <c r="G54" s="16">
        <f>(868+42)*0.3</f>
        <v>273</v>
      </c>
      <c r="H54" s="31">
        <f>55*1.2</f>
        <v>66</v>
      </c>
      <c r="I54" s="268">
        <f t="shared" si="32"/>
        <v>18018</v>
      </c>
      <c r="J54" s="268">
        <f t="shared" si="33"/>
        <v>18.02</v>
      </c>
      <c r="K54" s="501">
        <f>I54</f>
        <v>18018</v>
      </c>
      <c r="L54" s="380" t="s">
        <v>588</v>
      </c>
      <c r="M54" s="367" t="s">
        <v>588</v>
      </c>
      <c r="N54" s="367" t="s">
        <v>588</v>
      </c>
      <c r="O54" s="449"/>
    </row>
    <row r="55" spans="1:16" ht="52" customHeight="1" x14ac:dyDescent="0.2">
      <c r="A55" s="17" t="s">
        <v>88</v>
      </c>
      <c r="B55" s="241" t="s">
        <v>89</v>
      </c>
      <c r="C55" s="18">
        <v>1</v>
      </c>
      <c r="D55" s="40" t="s">
        <v>81</v>
      </c>
      <c r="E55" s="247" t="s">
        <v>16</v>
      </c>
      <c r="F55" s="19" t="s">
        <v>87</v>
      </c>
      <c r="G55" s="20"/>
      <c r="H55" s="24"/>
      <c r="I55" s="269">
        <f t="shared" si="32"/>
        <v>0</v>
      </c>
      <c r="J55" s="298"/>
      <c r="K55" s="519"/>
      <c r="L55" s="381"/>
      <c r="M55" s="382"/>
      <c r="N55" s="374"/>
      <c r="O55" s="428"/>
    </row>
    <row r="56" spans="1:16" ht="52" customHeight="1" x14ac:dyDescent="0.2">
      <c r="A56" s="17"/>
      <c r="B56" s="241" t="s">
        <v>90</v>
      </c>
      <c r="C56" s="18"/>
      <c r="D56" s="40"/>
      <c r="E56" s="250"/>
      <c r="F56" s="19"/>
      <c r="G56" s="20"/>
      <c r="H56" s="20"/>
      <c r="I56" s="270">
        <f t="shared" ref="I56:K56" si="34">I57+I58+I59+I60+I61+I62</f>
        <v>412585.07999999996</v>
      </c>
      <c r="J56" s="300"/>
      <c r="K56" s="521">
        <f t="shared" si="34"/>
        <v>409888.728</v>
      </c>
      <c r="L56" s="372"/>
      <c r="M56" s="373"/>
      <c r="N56" s="374"/>
      <c r="O56" s="428"/>
    </row>
    <row r="57" spans="1:16" ht="52" customHeight="1" x14ac:dyDescent="0.2">
      <c r="A57" s="13" t="s">
        <v>91</v>
      </c>
      <c r="B57" s="217" t="s">
        <v>92</v>
      </c>
      <c r="C57" s="14">
        <v>4</v>
      </c>
      <c r="D57" s="15" t="s">
        <v>15</v>
      </c>
      <c r="E57" s="246" t="s">
        <v>16</v>
      </c>
      <c r="F57" s="15" t="s">
        <v>17</v>
      </c>
      <c r="G57" s="16">
        <v>3883.9</v>
      </c>
      <c r="H57" s="16">
        <f>627.84/1000*1.2</f>
        <v>0.75340800000000008</v>
      </c>
      <c r="I57" s="268">
        <f t="shared" ref="I57:I62" si="35">ROUND(G57*H57*C57,2)</f>
        <v>11704.65</v>
      </c>
      <c r="J57" s="268">
        <f t="shared" ref="J57:J62" si="36">ROUND(I57/1000,2)</f>
        <v>11.7</v>
      </c>
      <c r="K57" s="501">
        <f>I57</f>
        <v>11704.65</v>
      </c>
      <c r="L57" s="380" t="s">
        <v>588</v>
      </c>
      <c r="M57" s="367" t="s">
        <v>588</v>
      </c>
      <c r="N57" s="367" t="s">
        <v>588</v>
      </c>
      <c r="O57" s="447" t="s">
        <v>603</v>
      </c>
    </row>
    <row r="58" spans="1:16" ht="52" customHeight="1" x14ac:dyDescent="0.2">
      <c r="A58" s="13" t="s">
        <v>93</v>
      </c>
      <c r="B58" s="236" t="s">
        <v>94</v>
      </c>
      <c r="C58" s="14">
        <v>4</v>
      </c>
      <c r="D58" s="15" t="s">
        <v>15</v>
      </c>
      <c r="E58" s="246" t="s">
        <v>16</v>
      </c>
      <c r="F58" s="15" t="s">
        <v>17</v>
      </c>
      <c r="G58" s="16">
        <v>21078</v>
      </c>
      <c r="H58" s="16">
        <f>614.13/1000*1.2</f>
        <v>0.73695599999999994</v>
      </c>
      <c r="I58" s="268">
        <f t="shared" si="35"/>
        <v>62134.23</v>
      </c>
      <c r="J58" s="268">
        <f t="shared" si="36"/>
        <v>62.13</v>
      </c>
      <c r="K58" s="501">
        <f t="shared" ref="K58:K61" si="37">I58</f>
        <v>62134.23</v>
      </c>
      <c r="L58" s="380" t="s">
        <v>588</v>
      </c>
      <c r="M58" s="367" t="s">
        <v>588</v>
      </c>
      <c r="N58" s="367" t="s">
        <v>588</v>
      </c>
      <c r="O58" s="448"/>
    </row>
    <row r="59" spans="1:16" ht="52" customHeight="1" x14ac:dyDescent="0.2">
      <c r="A59" s="13" t="s">
        <v>95</v>
      </c>
      <c r="B59" s="242" t="s">
        <v>96</v>
      </c>
      <c r="C59" s="14">
        <v>4</v>
      </c>
      <c r="D59" s="15" t="s">
        <v>15</v>
      </c>
      <c r="E59" s="246" t="s">
        <v>16</v>
      </c>
      <c r="F59" s="15" t="s">
        <v>17</v>
      </c>
      <c r="G59" s="16">
        <v>30423</v>
      </c>
      <c r="H59" s="16">
        <f>2238.83/1000*1.2</f>
        <v>2.6865960000000002</v>
      </c>
      <c r="I59" s="268">
        <f t="shared" si="35"/>
        <v>326937.24</v>
      </c>
      <c r="J59" s="268">
        <f t="shared" si="36"/>
        <v>326.94</v>
      </c>
      <c r="K59" s="501">
        <f t="shared" si="37"/>
        <v>326937.24</v>
      </c>
      <c r="L59" s="380" t="s">
        <v>588</v>
      </c>
      <c r="M59" s="367" t="s">
        <v>588</v>
      </c>
      <c r="N59" s="367" t="s">
        <v>588</v>
      </c>
      <c r="O59" s="448"/>
    </row>
    <row r="60" spans="1:16" ht="52" customHeight="1" x14ac:dyDescent="0.2">
      <c r="A60" s="13" t="s">
        <v>97</v>
      </c>
      <c r="B60" s="283" t="s">
        <v>98</v>
      </c>
      <c r="C60" s="14">
        <v>4</v>
      </c>
      <c r="D60" s="15" t="s">
        <v>15</v>
      </c>
      <c r="E60" s="246" t="s">
        <v>16</v>
      </c>
      <c r="F60" s="15" t="s">
        <v>37</v>
      </c>
      <c r="G60" s="16">
        <v>36</v>
      </c>
      <c r="H60" s="16">
        <f>201.5/10*1.2</f>
        <v>24.179999999999996</v>
      </c>
      <c r="I60" s="268">
        <f t="shared" si="35"/>
        <v>3481.92</v>
      </c>
      <c r="J60" s="268">
        <f t="shared" si="36"/>
        <v>3.48</v>
      </c>
      <c r="K60" s="501">
        <f t="shared" si="37"/>
        <v>3481.92</v>
      </c>
      <c r="L60" s="380" t="s">
        <v>588</v>
      </c>
      <c r="M60" s="367" t="s">
        <v>588</v>
      </c>
      <c r="N60" s="367" t="s">
        <v>588</v>
      </c>
      <c r="O60" s="448"/>
    </row>
    <row r="61" spans="1:16" ht="52" customHeight="1" x14ac:dyDescent="0.2">
      <c r="A61" s="13" t="s">
        <v>99</v>
      </c>
      <c r="B61" s="217" t="s">
        <v>100</v>
      </c>
      <c r="C61" s="14">
        <v>4</v>
      </c>
      <c r="D61" s="15" t="s">
        <v>15</v>
      </c>
      <c r="E61" s="246" t="s">
        <v>16</v>
      </c>
      <c r="F61" s="15" t="s">
        <v>37</v>
      </c>
      <c r="G61" s="16">
        <v>8</v>
      </c>
      <c r="H61" s="16">
        <f>111.95*1.2</f>
        <v>134.34</v>
      </c>
      <c r="I61" s="268">
        <f t="shared" si="35"/>
        <v>4298.88</v>
      </c>
      <c r="J61" s="268">
        <f t="shared" si="36"/>
        <v>4.3</v>
      </c>
      <c r="K61" s="501">
        <f t="shared" si="37"/>
        <v>4298.88</v>
      </c>
      <c r="L61" s="380" t="s">
        <v>588</v>
      </c>
      <c r="M61" s="367" t="s">
        <v>588</v>
      </c>
      <c r="N61" s="367" t="s">
        <v>588</v>
      </c>
      <c r="O61" s="449"/>
    </row>
    <row r="62" spans="1:16" ht="52" customHeight="1" x14ac:dyDescent="0.2">
      <c r="A62" s="13" t="s">
        <v>101</v>
      </c>
      <c r="B62" s="237" t="s">
        <v>102</v>
      </c>
      <c r="C62" s="14">
        <v>12</v>
      </c>
      <c r="D62" s="15" t="s">
        <v>15</v>
      </c>
      <c r="E62" s="251" t="s">
        <v>36</v>
      </c>
      <c r="F62" s="15" t="s">
        <v>37</v>
      </c>
      <c r="G62" s="16">
        <v>4</v>
      </c>
      <c r="H62" s="16">
        <v>83.92</v>
      </c>
      <c r="I62" s="268">
        <f t="shared" si="35"/>
        <v>4028.16</v>
      </c>
      <c r="J62" s="268">
        <f t="shared" si="36"/>
        <v>4.03</v>
      </c>
      <c r="K62" s="506">
        <f>N62</f>
        <v>1331.8080000000002</v>
      </c>
      <c r="L62" s="383" t="s">
        <v>604</v>
      </c>
      <c r="M62" s="284">
        <f>(279.72+275.2)*2</f>
        <v>1109.8400000000001</v>
      </c>
      <c r="N62" s="285">
        <f t="shared" si="4"/>
        <v>1331.8080000000002</v>
      </c>
      <c r="O62" s="288" t="s">
        <v>654</v>
      </c>
      <c r="P62" s="218" t="s">
        <v>607</v>
      </c>
    </row>
    <row r="63" spans="1:16" ht="52" customHeight="1" x14ac:dyDescent="0.2">
      <c r="A63" s="289"/>
      <c r="B63" s="290" t="s">
        <v>103</v>
      </c>
      <c r="C63" s="291"/>
      <c r="D63" s="292"/>
      <c r="E63" s="293"/>
      <c r="F63" s="292"/>
      <c r="G63" s="294"/>
      <c r="H63" s="294"/>
      <c r="I63" s="295">
        <f t="shared" ref="I63:K63" si="38">I7+I13+I22+I42+I49+I45+I56</f>
        <v>3240024.04</v>
      </c>
      <c r="J63" s="295">
        <f t="shared" si="38"/>
        <v>2827.4299999999994</v>
      </c>
      <c r="K63" s="520">
        <f t="shared" si="38"/>
        <v>2167332.0079999999</v>
      </c>
      <c r="L63" s="384"/>
      <c r="M63" s="385"/>
      <c r="N63" s="386"/>
      <c r="O63" s="425"/>
      <c r="P63" s="347" t="s">
        <v>606</v>
      </c>
    </row>
    <row r="64" spans="1:16" ht="52" customHeight="1" x14ac:dyDescent="0.2">
      <c r="A64" s="41" t="s">
        <v>104</v>
      </c>
      <c r="B64" s="238" t="s">
        <v>105</v>
      </c>
      <c r="C64" s="8"/>
      <c r="D64" s="5"/>
      <c r="E64" s="223"/>
      <c r="F64" s="5"/>
      <c r="G64" s="12"/>
      <c r="H64" s="12"/>
      <c r="I64" s="274">
        <f t="shared" ref="I64:I66" si="39">ROUND(G64*H64*C64,2)</f>
        <v>0</v>
      </c>
      <c r="J64" s="274">
        <f t="shared" ref="J64:J66" si="40">ROUND(I64/1000,2)</f>
        <v>0</v>
      </c>
      <c r="K64" s="519"/>
      <c r="L64" s="376"/>
      <c r="M64" s="373"/>
      <c r="N64" s="374"/>
      <c r="O64" s="428"/>
    </row>
    <row r="65" spans="1:17" ht="52" customHeight="1" x14ac:dyDescent="0.2">
      <c r="A65" s="13" t="s">
        <v>106</v>
      </c>
      <c r="B65" s="220" t="s">
        <v>107</v>
      </c>
      <c r="C65" s="14">
        <v>1</v>
      </c>
      <c r="D65" s="39" t="s">
        <v>108</v>
      </c>
      <c r="E65" s="251" t="s">
        <v>109</v>
      </c>
      <c r="F65" s="15" t="s">
        <v>110</v>
      </c>
      <c r="G65" s="16">
        <f>43099.1*0.14</f>
        <v>6033.8740000000007</v>
      </c>
      <c r="H65" s="16">
        <v>713.67</v>
      </c>
      <c r="I65" s="268">
        <f t="shared" si="39"/>
        <v>4306194.8600000003</v>
      </c>
      <c r="J65" s="268">
        <f t="shared" si="40"/>
        <v>4306.1899999999996</v>
      </c>
      <c r="K65" s="501">
        <f>I65</f>
        <v>4306194.8600000003</v>
      </c>
      <c r="L65" s="380" t="s">
        <v>588</v>
      </c>
      <c r="M65" s="361" t="s">
        <v>588</v>
      </c>
      <c r="N65" s="361" t="s">
        <v>588</v>
      </c>
      <c r="O65" s="288" t="s">
        <v>655</v>
      </c>
      <c r="Q65" s="463"/>
    </row>
    <row r="66" spans="1:17" ht="52" customHeight="1" x14ac:dyDescent="0.2">
      <c r="A66" s="13" t="s">
        <v>111</v>
      </c>
      <c r="B66" s="217" t="s">
        <v>112</v>
      </c>
      <c r="C66" s="14">
        <v>1</v>
      </c>
      <c r="D66" s="39" t="s">
        <v>22</v>
      </c>
      <c r="E66" s="251"/>
      <c r="F66" s="15" t="s">
        <v>87</v>
      </c>
      <c r="G66" s="16"/>
      <c r="H66" s="16"/>
      <c r="I66" s="268">
        <f t="shared" si="39"/>
        <v>0</v>
      </c>
      <c r="J66" s="268">
        <f t="shared" si="40"/>
        <v>0</v>
      </c>
      <c r="K66" s="519"/>
      <c r="L66" s="352"/>
      <c r="M66" s="284"/>
      <c r="N66" s="285">
        <v>0</v>
      </c>
      <c r="O66" s="288" t="s">
        <v>608</v>
      </c>
      <c r="Q66" s="463"/>
    </row>
    <row r="67" spans="1:17" ht="52" customHeight="1" x14ac:dyDescent="0.2">
      <c r="A67" s="307"/>
      <c r="B67" s="308" t="s">
        <v>113</v>
      </c>
      <c r="C67" s="309"/>
      <c r="D67" s="310"/>
      <c r="E67" s="310"/>
      <c r="F67" s="310"/>
      <c r="G67" s="311"/>
      <c r="H67" s="311"/>
      <c r="I67" s="312">
        <f t="shared" ref="I67:K67" si="41">SUM(I64:I66)</f>
        <v>4306194.8600000003</v>
      </c>
      <c r="J67" s="312">
        <f t="shared" si="41"/>
        <v>4306.1899999999996</v>
      </c>
      <c r="K67" s="520">
        <f t="shared" si="41"/>
        <v>4306194.8600000003</v>
      </c>
      <c r="L67" s="384"/>
      <c r="M67" s="385"/>
      <c r="N67" s="386"/>
      <c r="O67" s="425"/>
      <c r="Q67" s="463"/>
    </row>
    <row r="68" spans="1:17" ht="52" customHeight="1" x14ac:dyDescent="0.2">
      <c r="A68" s="42" t="s">
        <v>104</v>
      </c>
      <c r="B68" s="239" t="s">
        <v>114</v>
      </c>
      <c r="C68" s="9">
        <v>1</v>
      </c>
      <c r="D68" s="43" t="s">
        <v>81</v>
      </c>
      <c r="E68" s="252" t="s">
        <v>109</v>
      </c>
      <c r="F68" s="10" t="s">
        <v>110</v>
      </c>
      <c r="G68" s="11">
        <v>140</v>
      </c>
      <c r="H68" s="11">
        <v>7500</v>
      </c>
      <c r="I68" s="266">
        <f>ROUND(G68*H68*C68,2)</f>
        <v>1050000</v>
      </c>
      <c r="J68" s="266">
        <f>ROUND(I68/1000,2)</f>
        <v>1050</v>
      </c>
      <c r="K68" s="501">
        <f>I68</f>
        <v>1050000</v>
      </c>
      <c r="L68" s="380" t="s">
        <v>588</v>
      </c>
      <c r="M68" s="361" t="s">
        <v>588</v>
      </c>
      <c r="N68" s="361" t="s">
        <v>588</v>
      </c>
      <c r="O68" s="288" t="s">
        <v>656</v>
      </c>
      <c r="Q68" s="463"/>
    </row>
    <row r="69" spans="1:17" ht="52" customHeight="1" x14ac:dyDescent="0.2">
      <c r="A69" s="289"/>
      <c r="B69" s="290" t="s">
        <v>113</v>
      </c>
      <c r="C69" s="291"/>
      <c r="D69" s="292"/>
      <c r="E69" s="293"/>
      <c r="F69" s="292"/>
      <c r="G69" s="294"/>
      <c r="H69" s="294"/>
      <c r="I69" s="295">
        <f t="shared" ref="I69:K69" si="42">I68</f>
        <v>1050000</v>
      </c>
      <c r="J69" s="295">
        <f t="shared" si="42"/>
        <v>1050</v>
      </c>
      <c r="K69" s="520">
        <f t="shared" si="42"/>
        <v>1050000</v>
      </c>
      <c r="L69" s="387"/>
      <c r="M69" s="284"/>
      <c r="N69" s="285"/>
      <c r="O69" s="288"/>
    </row>
    <row r="70" spans="1:17" ht="52" customHeight="1" x14ac:dyDescent="0.2">
      <c r="A70" s="41" t="s">
        <v>115</v>
      </c>
      <c r="B70" s="238" t="s">
        <v>116</v>
      </c>
      <c r="C70" s="8"/>
      <c r="D70" s="5"/>
      <c r="E70" s="223"/>
      <c r="F70" s="5"/>
      <c r="G70" s="12"/>
      <c r="H70" s="12"/>
      <c r="I70" s="274"/>
      <c r="J70" s="298"/>
      <c r="K70" s="519"/>
      <c r="L70" s="372"/>
      <c r="M70" s="373"/>
      <c r="N70" s="374"/>
      <c r="O70" s="428"/>
      <c r="P70" s="101" t="s">
        <v>609</v>
      </c>
    </row>
    <row r="71" spans="1:17" ht="52" customHeight="1" x14ac:dyDescent="0.2">
      <c r="A71" s="41" t="s">
        <v>117</v>
      </c>
      <c r="B71" s="238" t="s">
        <v>118</v>
      </c>
      <c r="C71" s="8"/>
      <c r="D71" s="5"/>
      <c r="E71" s="223"/>
      <c r="F71" s="5"/>
      <c r="G71" s="12"/>
      <c r="H71" s="12"/>
      <c r="I71" s="274"/>
      <c r="J71" s="298"/>
      <c r="K71" s="506"/>
      <c r="L71" s="388"/>
      <c r="M71" s="373"/>
      <c r="N71" s="374"/>
      <c r="O71" s="428"/>
    </row>
    <row r="72" spans="1:17" ht="52" customHeight="1" x14ac:dyDescent="0.2">
      <c r="A72" s="13" t="s">
        <v>119</v>
      </c>
      <c r="B72" s="234" t="s">
        <v>120</v>
      </c>
      <c r="C72" s="14">
        <v>1</v>
      </c>
      <c r="D72" s="39" t="s">
        <v>81</v>
      </c>
      <c r="E72" s="246" t="s">
        <v>16</v>
      </c>
      <c r="F72" s="15" t="s">
        <v>121</v>
      </c>
      <c r="G72" s="16">
        <v>30</v>
      </c>
      <c r="H72" s="16">
        <f>187.09*1.2</f>
        <v>224.50800000000001</v>
      </c>
      <c r="I72" s="268">
        <f t="shared" ref="I72:I77" si="43">ROUND(G72*H72*C72,2)</f>
        <v>6735.24</v>
      </c>
      <c r="J72" s="268">
        <f t="shared" ref="J72:J77" si="44">ROUND(I72/1000,2)</f>
        <v>6.74</v>
      </c>
      <c r="K72" s="506">
        <f>N72</f>
        <v>5132.0999999999995</v>
      </c>
      <c r="L72" s="286" t="s">
        <v>652</v>
      </c>
      <c r="M72" s="361">
        <v>4276.75</v>
      </c>
      <c r="N72" s="285">
        <f>M72*1.2</f>
        <v>5132.0999999999995</v>
      </c>
      <c r="O72" s="288" t="s">
        <v>603</v>
      </c>
    </row>
    <row r="73" spans="1:17" ht="52" customHeight="1" x14ac:dyDescent="0.2">
      <c r="A73" s="13" t="s">
        <v>122</v>
      </c>
      <c r="B73" s="348" t="s">
        <v>123</v>
      </c>
      <c r="C73" s="14">
        <v>1</v>
      </c>
      <c r="D73" s="39" t="s">
        <v>81</v>
      </c>
      <c r="E73" s="246" t="s">
        <v>16</v>
      </c>
      <c r="F73" s="15" t="s">
        <v>17</v>
      </c>
      <c r="G73" s="16">
        <v>50</v>
      </c>
      <c r="H73" s="16">
        <f>(792.15+8579.22)*1.2</f>
        <v>11245.643999999998</v>
      </c>
      <c r="I73" s="268">
        <f t="shared" si="43"/>
        <v>562282.19999999995</v>
      </c>
      <c r="J73" s="268">
        <f t="shared" si="44"/>
        <v>562.28</v>
      </c>
      <c r="K73" s="501">
        <f>I73</f>
        <v>562282.19999999995</v>
      </c>
      <c r="L73" s="361" t="s">
        <v>588</v>
      </c>
      <c r="M73" s="361" t="s">
        <v>588</v>
      </c>
      <c r="N73" s="361" t="s">
        <v>588</v>
      </c>
      <c r="O73" s="288" t="s">
        <v>603</v>
      </c>
    </row>
    <row r="74" spans="1:17" ht="52" customHeight="1" x14ac:dyDescent="0.2">
      <c r="A74" s="33" t="s">
        <v>124</v>
      </c>
      <c r="B74" s="324" t="s">
        <v>125</v>
      </c>
      <c r="C74" s="36">
        <v>1</v>
      </c>
      <c r="D74" s="39" t="s">
        <v>81</v>
      </c>
      <c r="E74" s="246" t="s">
        <v>16</v>
      </c>
      <c r="F74" s="15"/>
      <c r="G74" s="16"/>
      <c r="H74" s="16"/>
      <c r="I74" s="273">
        <f t="shared" si="43"/>
        <v>0</v>
      </c>
      <c r="J74" s="273">
        <f t="shared" si="44"/>
        <v>0</v>
      </c>
      <c r="K74" s="506"/>
      <c r="L74" s="440"/>
      <c r="M74" s="391"/>
      <c r="N74" s="392">
        <f t="shared" ref="N74:N136" si="45">M74*1.2</f>
        <v>0</v>
      </c>
      <c r="O74" s="288"/>
    </row>
    <row r="75" spans="1:17" ht="52" customHeight="1" x14ac:dyDescent="0.2">
      <c r="A75" s="33" t="s">
        <v>126</v>
      </c>
      <c r="B75" s="324" t="s">
        <v>127</v>
      </c>
      <c r="C75" s="36">
        <v>1</v>
      </c>
      <c r="D75" s="39" t="s">
        <v>81</v>
      </c>
      <c r="E75" s="246" t="s">
        <v>16</v>
      </c>
      <c r="F75" s="15" t="s">
        <v>121</v>
      </c>
      <c r="G75" s="16">
        <v>75</v>
      </c>
      <c r="H75" s="16">
        <f>117.55*1.2</f>
        <v>141.06</v>
      </c>
      <c r="I75" s="268">
        <f t="shared" si="43"/>
        <v>10579.5</v>
      </c>
      <c r="J75" s="268">
        <f t="shared" si="44"/>
        <v>10.58</v>
      </c>
      <c r="K75" s="501">
        <f>I75</f>
        <v>10579.5</v>
      </c>
      <c r="L75" s="361" t="s">
        <v>588</v>
      </c>
      <c r="M75" s="361" t="s">
        <v>588</v>
      </c>
      <c r="N75" s="361" t="s">
        <v>588</v>
      </c>
      <c r="O75" s="288" t="s">
        <v>603</v>
      </c>
    </row>
    <row r="76" spans="1:17" ht="52" customHeight="1" x14ac:dyDescent="0.2">
      <c r="A76" s="33" t="s">
        <v>128</v>
      </c>
      <c r="B76" s="324" t="s">
        <v>129</v>
      </c>
      <c r="C76" s="36">
        <v>1</v>
      </c>
      <c r="D76" s="39" t="s">
        <v>81</v>
      </c>
      <c r="E76" s="246" t="s">
        <v>16</v>
      </c>
      <c r="F76" s="15" t="s">
        <v>87</v>
      </c>
      <c r="G76" s="16"/>
      <c r="H76" s="16">
        <v>2300</v>
      </c>
      <c r="I76" s="273">
        <f t="shared" si="43"/>
        <v>0</v>
      </c>
      <c r="J76" s="273">
        <f t="shared" si="44"/>
        <v>0</v>
      </c>
      <c r="K76" s="519"/>
      <c r="L76" s="390"/>
      <c r="M76" s="391"/>
      <c r="N76" s="392">
        <f t="shared" si="45"/>
        <v>0</v>
      </c>
      <c r="O76" s="288"/>
    </row>
    <row r="77" spans="1:17" ht="52" customHeight="1" x14ac:dyDescent="0.2">
      <c r="A77" s="33" t="s">
        <v>130</v>
      </c>
      <c r="B77" s="350" t="s">
        <v>131</v>
      </c>
      <c r="C77" s="36">
        <v>1</v>
      </c>
      <c r="D77" s="39" t="s">
        <v>81</v>
      </c>
      <c r="E77" s="246" t="s">
        <v>16</v>
      </c>
      <c r="F77" s="15" t="s">
        <v>87</v>
      </c>
      <c r="G77" s="16"/>
      <c r="H77" s="16">
        <v>2500</v>
      </c>
      <c r="I77" s="273">
        <f t="shared" si="43"/>
        <v>0</v>
      </c>
      <c r="J77" s="273">
        <f t="shared" si="44"/>
        <v>0</v>
      </c>
      <c r="K77" s="519"/>
      <c r="L77" s="390"/>
      <c r="M77" s="391"/>
      <c r="N77" s="392">
        <f t="shared" si="45"/>
        <v>0</v>
      </c>
      <c r="O77" s="288"/>
    </row>
    <row r="78" spans="1:17" ht="52" customHeight="1" x14ac:dyDescent="0.2">
      <c r="A78" s="41" t="s">
        <v>132</v>
      </c>
      <c r="B78" s="349" t="s">
        <v>133</v>
      </c>
      <c r="C78" s="8"/>
      <c r="D78" s="5"/>
      <c r="E78" s="223"/>
      <c r="F78" s="5"/>
      <c r="G78" s="12"/>
      <c r="H78" s="12"/>
      <c r="I78" s="274"/>
      <c r="J78" s="274"/>
      <c r="K78" s="519"/>
      <c r="L78" s="393"/>
      <c r="M78" s="373"/>
      <c r="N78" s="374"/>
      <c r="O78" s="428"/>
    </row>
    <row r="79" spans="1:17" ht="52" customHeight="1" x14ac:dyDescent="0.2">
      <c r="A79" s="13" t="s">
        <v>134</v>
      </c>
      <c r="B79" s="220" t="s">
        <v>135</v>
      </c>
      <c r="C79" s="14">
        <v>1</v>
      </c>
      <c r="D79" s="39" t="s">
        <v>81</v>
      </c>
      <c r="E79" s="246" t="s">
        <v>36</v>
      </c>
      <c r="F79" s="15" t="s">
        <v>17</v>
      </c>
      <c r="G79" s="16">
        <v>50</v>
      </c>
      <c r="H79" s="16">
        <v>9743.65</v>
      </c>
      <c r="I79" s="268">
        <f t="shared" ref="I79:I86" si="46">ROUND(G79*H79*C79,2)</f>
        <v>487182.5</v>
      </c>
      <c r="J79" s="268">
        <f t="shared" ref="J79:J86" si="47">ROUND(I79/1000,2)</f>
        <v>487.18</v>
      </c>
      <c r="K79" s="506">
        <f>N79</f>
        <v>207591.51600000003</v>
      </c>
      <c r="L79" s="394" t="s">
        <v>611</v>
      </c>
      <c r="M79" s="284">
        <f>14408.51+158584.42</f>
        <v>172992.93000000002</v>
      </c>
      <c r="N79" s="285">
        <f t="shared" si="45"/>
        <v>207591.51600000003</v>
      </c>
      <c r="O79" s="288" t="s">
        <v>657</v>
      </c>
    </row>
    <row r="80" spans="1:17" ht="52" customHeight="1" x14ac:dyDescent="0.2">
      <c r="A80" s="13" t="s">
        <v>136</v>
      </c>
      <c r="B80" s="220" t="s">
        <v>137</v>
      </c>
      <c r="C80" s="14">
        <v>1</v>
      </c>
      <c r="D80" s="39" t="s">
        <v>138</v>
      </c>
      <c r="E80" s="246" t="s">
        <v>16</v>
      </c>
      <c r="F80" s="15" t="s">
        <v>139</v>
      </c>
      <c r="G80" s="16">
        <v>12</v>
      </c>
      <c r="H80" s="16">
        <f>21205.42*1.2</f>
        <v>25446.503999999997</v>
      </c>
      <c r="I80" s="268">
        <f t="shared" si="46"/>
        <v>305358.05</v>
      </c>
      <c r="J80" s="268">
        <f t="shared" si="47"/>
        <v>305.36</v>
      </c>
      <c r="K80" s="506">
        <f>N80</f>
        <v>2113.7159999999999</v>
      </c>
      <c r="L80" s="352" t="s">
        <v>610</v>
      </c>
      <c r="M80" s="365">
        <v>1761.43</v>
      </c>
      <c r="N80" s="285">
        <f t="shared" si="45"/>
        <v>2113.7159999999999</v>
      </c>
      <c r="O80" s="288" t="s">
        <v>658</v>
      </c>
    </row>
    <row r="81" spans="1:15" ht="52" customHeight="1" x14ac:dyDescent="0.2">
      <c r="A81" s="13" t="s">
        <v>140</v>
      </c>
      <c r="B81" s="220" t="s">
        <v>141</v>
      </c>
      <c r="C81" s="14">
        <v>1</v>
      </c>
      <c r="D81" s="39" t="s">
        <v>81</v>
      </c>
      <c r="E81" s="246" t="s">
        <v>16</v>
      </c>
      <c r="F81" s="15" t="s">
        <v>37</v>
      </c>
      <c r="G81" s="16">
        <v>2</v>
      </c>
      <c r="H81" s="16">
        <f>658.81*1.2</f>
        <v>790.57199999999989</v>
      </c>
      <c r="I81" s="268">
        <f t="shared" si="46"/>
        <v>1581.14</v>
      </c>
      <c r="J81" s="268">
        <f t="shared" si="47"/>
        <v>1.58</v>
      </c>
      <c r="K81" s="530">
        <f>I81</f>
        <v>1581.14</v>
      </c>
      <c r="L81" s="352"/>
      <c r="M81" s="284">
        <v>1937.13</v>
      </c>
      <c r="N81" s="285"/>
      <c r="O81" s="475"/>
    </row>
    <row r="82" spans="1:15" ht="52" customHeight="1" x14ac:dyDescent="0.2">
      <c r="A82" s="13" t="s">
        <v>142</v>
      </c>
      <c r="B82" s="220" t="s">
        <v>143</v>
      </c>
      <c r="C82" s="14">
        <v>1</v>
      </c>
      <c r="D82" s="44" t="s">
        <v>144</v>
      </c>
      <c r="E82" s="246" t="s">
        <v>16</v>
      </c>
      <c r="F82" s="15" t="s">
        <v>87</v>
      </c>
      <c r="G82" s="16"/>
      <c r="H82" s="16">
        <v>7830</v>
      </c>
      <c r="I82" s="273">
        <f t="shared" si="46"/>
        <v>0</v>
      </c>
      <c r="J82" s="273">
        <f t="shared" si="47"/>
        <v>0</v>
      </c>
      <c r="K82" s="519"/>
      <c r="L82" s="395"/>
      <c r="M82" s="391"/>
      <c r="N82" s="392">
        <f t="shared" si="45"/>
        <v>0</v>
      </c>
      <c r="O82" s="476"/>
    </row>
    <row r="83" spans="1:15" ht="52" customHeight="1" x14ac:dyDescent="0.2">
      <c r="A83" s="13" t="s">
        <v>145</v>
      </c>
      <c r="B83" s="220" t="s">
        <v>146</v>
      </c>
      <c r="C83" s="14">
        <v>1</v>
      </c>
      <c r="D83" s="44" t="s">
        <v>144</v>
      </c>
      <c r="E83" s="246" t="s">
        <v>16</v>
      </c>
      <c r="F83" s="15" t="s">
        <v>87</v>
      </c>
      <c r="G83" s="16"/>
      <c r="H83" s="16">
        <v>19870</v>
      </c>
      <c r="I83" s="273">
        <f t="shared" si="46"/>
        <v>0</v>
      </c>
      <c r="J83" s="273">
        <f t="shared" si="47"/>
        <v>0</v>
      </c>
      <c r="K83" s="519"/>
      <c r="L83" s="395"/>
      <c r="M83" s="391"/>
      <c r="N83" s="392">
        <f t="shared" si="45"/>
        <v>0</v>
      </c>
      <c r="O83" s="476"/>
    </row>
    <row r="84" spans="1:15" ht="52" customHeight="1" x14ac:dyDescent="0.2">
      <c r="A84" s="13" t="s">
        <v>147</v>
      </c>
      <c r="B84" s="217" t="s">
        <v>148</v>
      </c>
      <c r="C84" s="14">
        <v>1</v>
      </c>
      <c r="D84" s="39" t="s">
        <v>81</v>
      </c>
      <c r="E84" s="246" t="s">
        <v>16</v>
      </c>
      <c r="F84" s="15"/>
      <c r="G84" s="16"/>
      <c r="H84" s="16"/>
      <c r="I84" s="273">
        <f t="shared" si="46"/>
        <v>0</v>
      </c>
      <c r="J84" s="273">
        <f t="shared" si="47"/>
        <v>0</v>
      </c>
      <c r="K84" s="519"/>
      <c r="L84" s="390"/>
      <c r="M84" s="391"/>
      <c r="N84" s="392">
        <f t="shared" si="45"/>
        <v>0</v>
      </c>
      <c r="O84" s="476"/>
    </row>
    <row r="85" spans="1:15" ht="52" customHeight="1" x14ac:dyDescent="0.2">
      <c r="A85" s="13" t="s">
        <v>149</v>
      </c>
      <c r="B85" s="217" t="s">
        <v>150</v>
      </c>
      <c r="C85" s="14">
        <v>1</v>
      </c>
      <c r="D85" s="39" t="s">
        <v>81</v>
      </c>
      <c r="E85" s="246" t="s">
        <v>16</v>
      </c>
      <c r="F85" s="15" t="s">
        <v>17</v>
      </c>
      <c r="G85" s="16">
        <v>0</v>
      </c>
      <c r="H85" s="16">
        <f>155.08*1.2</f>
        <v>186.096</v>
      </c>
      <c r="I85" s="273">
        <f t="shared" si="46"/>
        <v>0</v>
      </c>
      <c r="J85" s="273">
        <f t="shared" si="47"/>
        <v>0</v>
      </c>
      <c r="K85" s="519"/>
      <c r="L85" s="395"/>
      <c r="M85" s="396"/>
      <c r="N85" s="392">
        <f t="shared" si="45"/>
        <v>0</v>
      </c>
      <c r="O85" s="476"/>
    </row>
    <row r="86" spans="1:15" ht="52" customHeight="1" x14ac:dyDescent="0.2">
      <c r="A86" s="13" t="s">
        <v>151</v>
      </c>
      <c r="B86" s="220" t="s">
        <v>152</v>
      </c>
      <c r="C86" s="14">
        <v>1</v>
      </c>
      <c r="D86" s="39" t="s">
        <v>81</v>
      </c>
      <c r="E86" s="246" t="s">
        <v>16</v>
      </c>
      <c r="F86" s="15" t="s">
        <v>87</v>
      </c>
      <c r="G86" s="16"/>
      <c r="H86" s="16"/>
      <c r="I86" s="273">
        <f t="shared" si="46"/>
        <v>0</v>
      </c>
      <c r="J86" s="273">
        <f t="shared" si="47"/>
        <v>0</v>
      </c>
      <c r="K86" s="519"/>
      <c r="L86" s="395"/>
      <c r="M86" s="391"/>
      <c r="N86" s="392">
        <f t="shared" si="45"/>
        <v>0</v>
      </c>
      <c r="O86" s="477"/>
    </row>
    <row r="87" spans="1:15" ht="52" customHeight="1" x14ac:dyDescent="0.2">
      <c r="A87" s="41" t="s">
        <v>153</v>
      </c>
      <c r="B87" s="238" t="s">
        <v>154</v>
      </c>
      <c r="C87" s="8"/>
      <c r="D87" s="5"/>
      <c r="E87" s="223"/>
      <c r="F87" s="5"/>
      <c r="G87" s="12"/>
      <c r="H87" s="12"/>
      <c r="I87" s="274"/>
      <c r="J87" s="274"/>
      <c r="K87" s="519"/>
      <c r="L87" s="376"/>
      <c r="M87" s="373"/>
      <c r="N87" s="374"/>
      <c r="O87" s="428"/>
    </row>
    <row r="88" spans="1:15" ht="52" customHeight="1" x14ac:dyDescent="0.2">
      <c r="A88" s="313" t="s">
        <v>155</v>
      </c>
      <c r="B88" s="314" t="s">
        <v>156</v>
      </c>
      <c r="C88" s="315"/>
      <c r="D88" s="316" t="s">
        <v>22</v>
      </c>
      <c r="E88" s="317" t="s">
        <v>16</v>
      </c>
      <c r="F88" s="318"/>
      <c r="G88" s="319"/>
      <c r="H88" s="319"/>
      <c r="I88" s="320">
        <f t="shared" ref="I88:I94" si="48">ROUND(G88*H88*C88,2)</f>
        <v>0</v>
      </c>
      <c r="J88" s="320">
        <f t="shared" ref="J88:J94" si="49">ROUND(I88/1000,2)</f>
        <v>0</v>
      </c>
      <c r="K88" s="519"/>
      <c r="L88" s="397"/>
      <c r="M88" s="391"/>
      <c r="N88" s="392">
        <f t="shared" si="45"/>
        <v>0</v>
      </c>
      <c r="O88" s="288"/>
    </row>
    <row r="89" spans="1:15" ht="52" customHeight="1" x14ac:dyDescent="0.2">
      <c r="A89" s="313" t="s">
        <v>157</v>
      </c>
      <c r="B89" s="314" t="s">
        <v>158</v>
      </c>
      <c r="C89" s="315">
        <v>1</v>
      </c>
      <c r="D89" s="316" t="s">
        <v>159</v>
      </c>
      <c r="E89" s="317" t="s">
        <v>16</v>
      </c>
      <c r="F89" s="318" t="s">
        <v>87</v>
      </c>
      <c r="G89" s="319"/>
      <c r="H89" s="319"/>
      <c r="I89" s="320">
        <f t="shared" si="48"/>
        <v>0</v>
      </c>
      <c r="J89" s="320">
        <f t="shared" si="49"/>
        <v>0</v>
      </c>
      <c r="K89" s="519"/>
      <c r="L89" s="397"/>
      <c r="M89" s="391"/>
      <c r="N89" s="392">
        <f t="shared" si="45"/>
        <v>0</v>
      </c>
      <c r="O89" s="288"/>
    </row>
    <row r="90" spans="1:15" ht="52" customHeight="1" x14ac:dyDescent="0.2">
      <c r="A90" s="313" t="s">
        <v>160</v>
      </c>
      <c r="B90" s="314" t="s">
        <v>161</v>
      </c>
      <c r="C90" s="315"/>
      <c r="D90" s="316" t="s">
        <v>159</v>
      </c>
      <c r="E90" s="317" t="s">
        <v>16</v>
      </c>
      <c r="F90" s="318"/>
      <c r="G90" s="319"/>
      <c r="H90" s="319"/>
      <c r="I90" s="320">
        <f t="shared" si="48"/>
        <v>0</v>
      </c>
      <c r="J90" s="320">
        <f t="shared" si="49"/>
        <v>0</v>
      </c>
      <c r="K90" s="519"/>
      <c r="L90" s="397"/>
      <c r="M90" s="391"/>
      <c r="N90" s="392">
        <f t="shared" si="45"/>
        <v>0</v>
      </c>
      <c r="O90" s="288"/>
    </row>
    <row r="91" spans="1:15" ht="52" customHeight="1" x14ac:dyDescent="0.2">
      <c r="A91" s="313" t="s">
        <v>162</v>
      </c>
      <c r="B91" s="314" t="s">
        <v>163</v>
      </c>
      <c r="C91" s="315">
        <v>1</v>
      </c>
      <c r="D91" s="316" t="s">
        <v>81</v>
      </c>
      <c r="E91" s="317" t="s">
        <v>16</v>
      </c>
      <c r="F91" s="318" t="s">
        <v>87</v>
      </c>
      <c r="G91" s="319"/>
      <c r="H91" s="319"/>
      <c r="I91" s="320">
        <f t="shared" si="48"/>
        <v>0</v>
      </c>
      <c r="J91" s="320">
        <f t="shared" si="49"/>
        <v>0</v>
      </c>
      <c r="K91" s="519"/>
      <c r="L91" s="398"/>
      <c r="M91" s="391"/>
      <c r="N91" s="392">
        <f t="shared" si="45"/>
        <v>0</v>
      </c>
      <c r="O91" s="288"/>
    </row>
    <row r="92" spans="1:15" ht="52" customHeight="1" x14ac:dyDescent="0.2">
      <c r="A92" s="41" t="s">
        <v>164</v>
      </c>
      <c r="B92" s="238" t="s">
        <v>165</v>
      </c>
      <c r="C92" s="8"/>
      <c r="D92" s="5"/>
      <c r="E92" s="223"/>
      <c r="F92" s="5"/>
      <c r="G92" s="12"/>
      <c r="H92" s="12"/>
      <c r="I92" s="297"/>
      <c r="J92" s="274"/>
      <c r="K92" s="519"/>
      <c r="L92" s="399"/>
      <c r="M92" s="373"/>
      <c r="N92" s="374"/>
      <c r="O92" s="428"/>
    </row>
    <row r="93" spans="1:15" ht="52" customHeight="1" x14ac:dyDescent="0.2">
      <c r="A93" s="13" t="s">
        <v>166</v>
      </c>
      <c r="B93" s="441" t="s">
        <v>167</v>
      </c>
      <c r="C93" s="14">
        <v>1</v>
      </c>
      <c r="D93" s="39" t="s">
        <v>81</v>
      </c>
      <c r="E93" s="246" t="s">
        <v>16</v>
      </c>
      <c r="F93" s="15" t="s">
        <v>17</v>
      </c>
      <c r="G93" s="16">
        <v>50</v>
      </c>
      <c r="H93" s="16">
        <v>111.01</v>
      </c>
      <c r="I93" s="268">
        <f t="shared" si="48"/>
        <v>5550.5</v>
      </c>
      <c r="J93" s="268">
        <f t="shared" si="49"/>
        <v>5.55</v>
      </c>
      <c r="K93" s="519">
        <f>I93</f>
        <v>5550.5</v>
      </c>
      <c r="L93" s="438"/>
      <c r="M93" s="365">
        <v>7218.24</v>
      </c>
      <c r="N93" s="285"/>
      <c r="O93" s="447" t="s">
        <v>659</v>
      </c>
    </row>
    <row r="94" spans="1:15" ht="52" customHeight="1" x14ac:dyDescent="0.2">
      <c r="A94" s="13" t="s">
        <v>168</v>
      </c>
      <c r="B94" s="242" t="s">
        <v>169</v>
      </c>
      <c r="C94" s="14">
        <v>1</v>
      </c>
      <c r="D94" s="39" t="s">
        <v>81</v>
      </c>
      <c r="E94" s="246" t="s">
        <v>16</v>
      </c>
      <c r="F94" s="15" t="s">
        <v>170</v>
      </c>
      <c r="G94" s="16">
        <v>10</v>
      </c>
      <c r="H94" s="16">
        <v>89.54</v>
      </c>
      <c r="I94" s="268">
        <f t="shared" si="48"/>
        <v>895.4</v>
      </c>
      <c r="J94" s="268">
        <f t="shared" si="49"/>
        <v>0.9</v>
      </c>
      <c r="K94" s="519">
        <f>I94</f>
        <v>895.4</v>
      </c>
      <c r="L94" s="401"/>
      <c r="M94" s="284">
        <v>1926.7</v>
      </c>
      <c r="N94" s="285"/>
      <c r="O94" s="449"/>
    </row>
    <row r="95" spans="1:15" ht="52" customHeight="1" x14ac:dyDescent="0.2">
      <c r="A95" s="41" t="s">
        <v>171</v>
      </c>
      <c r="B95" s="238" t="s">
        <v>172</v>
      </c>
      <c r="C95" s="8"/>
      <c r="D95" s="5"/>
      <c r="E95" s="223"/>
      <c r="F95" s="5"/>
      <c r="G95" s="12"/>
      <c r="H95" s="12"/>
      <c r="I95" s="274"/>
      <c r="J95" s="274"/>
      <c r="K95" s="519"/>
      <c r="L95" s="399"/>
      <c r="M95" s="373"/>
      <c r="N95" s="374"/>
      <c r="O95" s="428"/>
    </row>
    <row r="96" spans="1:15" ht="52" customHeight="1" x14ac:dyDescent="0.2">
      <c r="A96" s="13" t="s">
        <v>173</v>
      </c>
      <c r="B96" s="220" t="s">
        <v>174</v>
      </c>
      <c r="C96" s="14">
        <v>1</v>
      </c>
      <c r="D96" s="39" t="s">
        <v>81</v>
      </c>
      <c r="E96" s="246" t="s">
        <v>16</v>
      </c>
      <c r="F96" s="15" t="s">
        <v>170</v>
      </c>
      <c r="G96" s="16">
        <v>15</v>
      </c>
      <c r="H96" s="16">
        <v>178.15</v>
      </c>
      <c r="I96" s="268">
        <f t="shared" ref="I96:I99" si="50">ROUND(G96*H96*C96,2)</f>
        <v>2672.25</v>
      </c>
      <c r="J96" s="268">
        <f t="shared" ref="J96:J99" si="51">ROUND(I96/1000,2)</f>
        <v>2.67</v>
      </c>
      <c r="K96" s="519">
        <v>0</v>
      </c>
      <c r="L96" s="352" t="s">
        <v>612</v>
      </c>
      <c r="M96" s="367" t="s">
        <v>646</v>
      </c>
      <c r="N96" s="285"/>
      <c r="O96" s="288" t="s">
        <v>603</v>
      </c>
    </row>
    <row r="97" spans="1:15" ht="52" customHeight="1" x14ac:dyDescent="0.2">
      <c r="A97" s="13" t="s">
        <v>175</v>
      </c>
      <c r="B97" s="220" t="s">
        <v>176</v>
      </c>
      <c r="C97" s="14">
        <v>1</v>
      </c>
      <c r="D97" s="39" t="s">
        <v>81</v>
      </c>
      <c r="E97" s="246" t="s">
        <v>16</v>
      </c>
      <c r="F97" s="15" t="s">
        <v>87</v>
      </c>
      <c r="G97" s="16">
        <v>30</v>
      </c>
      <c r="H97" s="16">
        <v>321.42</v>
      </c>
      <c r="I97" s="268">
        <f t="shared" si="50"/>
        <v>9642.6</v>
      </c>
      <c r="J97" s="268">
        <f t="shared" si="51"/>
        <v>9.64</v>
      </c>
      <c r="K97" s="501">
        <f>I97</f>
        <v>9642.6</v>
      </c>
      <c r="L97" s="352" t="s">
        <v>660</v>
      </c>
      <c r="M97" s="367" t="s">
        <v>646</v>
      </c>
      <c r="N97" s="285"/>
      <c r="O97" s="288" t="s">
        <v>603</v>
      </c>
    </row>
    <row r="98" spans="1:15" ht="52" customHeight="1" x14ac:dyDescent="0.2">
      <c r="A98" s="13" t="s">
        <v>177</v>
      </c>
      <c r="B98" s="220" t="s">
        <v>178</v>
      </c>
      <c r="C98" s="14">
        <v>1</v>
      </c>
      <c r="D98" s="39" t="s">
        <v>81</v>
      </c>
      <c r="E98" s="246" t="s">
        <v>16</v>
      </c>
      <c r="F98" s="15" t="s">
        <v>87</v>
      </c>
      <c r="G98" s="16"/>
      <c r="H98" s="16"/>
      <c r="I98" s="299">
        <f t="shared" si="50"/>
        <v>0</v>
      </c>
      <c r="J98" s="299">
        <f t="shared" si="51"/>
        <v>0</v>
      </c>
      <c r="K98" s="519"/>
      <c r="L98" s="352"/>
      <c r="M98" s="367"/>
      <c r="N98" s="389">
        <f t="shared" si="45"/>
        <v>0</v>
      </c>
      <c r="O98" s="288"/>
    </row>
    <row r="99" spans="1:15" ht="52" customHeight="1" x14ac:dyDescent="0.2">
      <c r="A99" s="13" t="s">
        <v>179</v>
      </c>
      <c r="B99" s="220" t="s">
        <v>180</v>
      </c>
      <c r="C99" s="14">
        <v>1</v>
      </c>
      <c r="D99" s="39" t="s">
        <v>81</v>
      </c>
      <c r="E99" s="246" t="s">
        <v>16</v>
      </c>
      <c r="F99" s="15" t="s">
        <v>87</v>
      </c>
      <c r="G99" s="16"/>
      <c r="H99" s="16"/>
      <c r="I99" s="299">
        <f t="shared" si="50"/>
        <v>0</v>
      </c>
      <c r="J99" s="299">
        <f t="shared" si="51"/>
        <v>0</v>
      </c>
      <c r="K99" s="519"/>
      <c r="L99" s="402"/>
      <c r="M99" s="367"/>
      <c r="N99" s="389">
        <f t="shared" si="45"/>
        <v>0</v>
      </c>
      <c r="O99" s="288"/>
    </row>
    <row r="100" spans="1:15" ht="52" customHeight="1" x14ac:dyDescent="0.2">
      <c r="A100" s="41" t="s">
        <v>181</v>
      </c>
      <c r="B100" s="238" t="s">
        <v>182</v>
      </c>
      <c r="C100" s="8"/>
      <c r="D100" s="5"/>
      <c r="E100" s="223"/>
      <c r="F100" s="5"/>
      <c r="G100" s="12"/>
      <c r="H100" s="12"/>
      <c r="I100" s="274"/>
      <c r="J100" s="298"/>
      <c r="K100" s="519"/>
      <c r="L100" s="376"/>
      <c r="M100" s="373"/>
      <c r="N100" s="374"/>
      <c r="O100" s="428"/>
    </row>
    <row r="101" spans="1:15" ht="52" customHeight="1" x14ac:dyDescent="0.2">
      <c r="A101" s="13" t="s">
        <v>183</v>
      </c>
      <c r="B101" s="220" t="s">
        <v>184</v>
      </c>
      <c r="C101" s="14">
        <v>1</v>
      </c>
      <c r="D101" s="39" t="s">
        <v>138</v>
      </c>
      <c r="E101" s="246" t="s">
        <v>36</v>
      </c>
      <c r="F101" s="15" t="s">
        <v>185</v>
      </c>
      <c r="G101" s="31">
        <v>15</v>
      </c>
      <c r="H101" s="16">
        <v>3416.1119999999992</v>
      </c>
      <c r="I101" s="268">
        <f t="shared" ref="I101:I107" si="52">ROUND(G101*H101*C101,2)</f>
        <v>51241.68</v>
      </c>
      <c r="J101" s="268">
        <f t="shared" ref="J101:J107" si="53">ROUND(I101/1000,2)</f>
        <v>51.24</v>
      </c>
      <c r="K101" s="530">
        <f>I101</f>
        <v>51241.68</v>
      </c>
      <c r="L101" s="352"/>
      <c r="M101" s="367"/>
      <c r="N101" s="285"/>
      <c r="O101" s="288" t="s">
        <v>661</v>
      </c>
    </row>
    <row r="102" spans="1:15" ht="52" customHeight="1" x14ac:dyDescent="0.2">
      <c r="A102" s="13" t="s">
        <v>186</v>
      </c>
      <c r="B102" s="220" t="s">
        <v>187</v>
      </c>
      <c r="C102" s="14">
        <v>1</v>
      </c>
      <c r="D102" s="39" t="s">
        <v>138</v>
      </c>
      <c r="E102" s="246" t="s">
        <v>36</v>
      </c>
      <c r="F102" s="15" t="s">
        <v>25</v>
      </c>
      <c r="G102" s="31">
        <v>12</v>
      </c>
      <c r="H102" s="16">
        <v>47899.271999999997</v>
      </c>
      <c r="I102" s="268">
        <f t="shared" si="52"/>
        <v>574791.26</v>
      </c>
      <c r="J102" s="268">
        <f t="shared" si="53"/>
        <v>574.79</v>
      </c>
      <c r="K102" s="519">
        <f>N102</f>
        <v>98750.088000000003</v>
      </c>
      <c r="L102" s="352" t="s">
        <v>613</v>
      </c>
      <c r="M102" s="284">
        <v>82291.740000000005</v>
      </c>
      <c r="N102" s="285">
        <f t="shared" si="45"/>
        <v>98750.088000000003</v>
      </c>
      <c r="O102" s="288" t="s">
        <v>614</v>
      </c>
    </row>
    <row r="103" spans="1:15" ht="52" customHeight="1" x14ac:dyDescent="0.2">
      <c r="A103" s="13" t="s">
        <v>188</v>
      </c>
      <c r="B103" s="220" t="s">
        <v>189</v>
      </c>
      <c r="C103" s="14">
        <v>1</v>
      </c>
      <c r="D103" s="39" t="s">
        <v>159</v>
      </c>
      <c r="E103" s="246" t="s">
        <v>16</v>
      </c>
      <c r="F103" s="15" t="s">
        <v>87</v>
      </c>
      <c r="G103" s="16"/>
      <c r="H103" s="16">
        <v>2500</v>
      </c>
      <c r="I103" s="273">
        <f t="shared" si="52"/>
        <v>0</v>
      </c>
      <c r="J103" s="273">
        <f t="shared" si="53"/>
        <v>0</v>
      </c>
      <c r="K103" s="519"/>
      <c r="L103" s="395"/>
      <c r="M103" s="391"/>
      <c r="N103" s="392">
        <f t="shared" si="45"/>
        <v>0</v>
      </c>
      <c r="O103" s="288"/>
    </row>
    <row r="104" spans="1:15" ht="52" customHeight="1" x14ac:dyDescent="0.2">
      <c r="A104" s="13" t="s">
        <v>190</v>
      </c>
      <c r="B104" s="220" t="s">
        <v>191</v>
      </c>
      <c r="C104" s="14">
        <v>1</v>
      </c>
      <c r="D104" s="39" t="s">
        <v>192</v>
      </c>
      <c r="E104" s="246" t="s">
        <v>16</v>
      </c>
      <c r="F104" s="15" t="s">
        <v>87</v>
      </c>
      <c r="G104" s="16"/>
      <c r="H104" s="16">
        <v>7200</v>
      </c>
      <c r="I104" s="273">
        <f t="shared" si="52"/>
        <v>0</v>
      </c>
      <c r="J104" s="273">
        <f t="shared" si="53"/>
        <v>0</v>
      </c>
      <c r="K104" s="519"/>
      <c r="L104" s="395"/>
      <c r="M104" s="391"/>
      <c r="N104" s="392">
        <f t="shared" si="45"/>
        <v>0</v>
      </c>
      <c r="O104" s="288"/>
    </row>
    <row r="105" spans="1:15" ht="52" customHeight="1" x14ac:dyDescent="0.2">
      <c r="A105" s="13" t="s">
        <v>193</v>
      </c>
      <c r="B105" s="220" t="s">
        <v>194</v>
      </c>
      <c r="C105" s="14"/>
      <c r="D105" s="39" t="s">
        <v>159</v>
      </c>
      <c r="E105" s="246" t="s">
        <v>16</v>
      </c>
      <c r="F105" s="15"/>
      <c r="G105" s="16"/>
      <c r="H105" s="16"/>
      <c r="I105" s="273">
        <f t="shared" si="52"/>
        <v>0</v>
      </c>
      <c r="J105" s="273">
        <f t="shared" si="53"/>
        <v>0</v>
      </c>
      <c r="K105" s="519"/>
      <c r="L105" s="395"/>
      <c r="M105" s="391"/>
      <c r="N105" s="392">
        <f t="shared" si="45"/>
        <v>0</v>
      </c>
      <c r="O105" s="288"/>
    </row>
    <row r="106" spans="1:15" ht="52" customHeight="1" x14ac:dyDescent="0.2">
      <c r="A106" s="13" t="s">
        <v>195</v>
      </c>
      <c r="B106" s="220" t="s">
        <v>196</v>
      </c>
      <c r="C106" s="14">
        <v>1</v>
      </c>
      <c r="D106" s="39" t="s">
        <v>192</v>
      </c>
      <c r="E106" s="246" t="s">
        <v>16</v>
      </c>
      <c r="F106" s="15" t="s">
        <v>87</v>
      </c>
      <c r="G106" s="16"/>
      <c r="H106" s="16">
        <v>3600</v>
      </c>
      <c r="I106" s="273">
        <f t="shared" si="52"/>
        <v>0</v>
      </c>
      <c r="J106" s="273">
        <f t="shared" si="53"/>
        <v>0</v>
      </c>
      <c r="K106" s="519"/>
      <c r="L106" s="395"/>
      <c r="M106" s="391"/>
      <c r="N106" s="392">
        <f t="shared" si="45"/>
        <v>0</v>
      </c>
      <c r="O106" s="288"/>
    </row>
    <row r="107" spans="1:15" ht="52" customHeight="1" x14ac:dyDescent="0.2">
      <c r="A107" s="13" t="s">
        <v>197</v>
      </c>
      <c r="B107" s="217" t="s">
        <v>198</v>
      </c>
      <c r="C107" s="14">
        <v>1</v>
      </c>
      <c r="D107" s="39" t="s">
        <v>81</v>
      </c>
      <c r="E107" s="246" t="s">
        <v>16</v>
      </c>
      <c r="F107" s="15" t="s">
        <v>87</v>
      </c>
      <c r="G107" s="16"/>
      <c r="H107" s="16">
        <v>0</v>
      </c>
      <c r="I107" s="273">
        <f t="shared" si="52"/>
        <v>0</v>
      </c>
      <c r="J107" s="273">
        <f t="shared" si="53"/>
        <v>0</v>
      </c>
      <c r="K107" s="519"/>
      <c r="L107" s="395"/>
      <c r="M107" s="391"/>
      <c r="N107" s="392">
        <f t="shared" si="45"/>
        <v>0</v>
      </c>
      <c r="O107" s="288"/>
    </row>
    <row r="108" spans="1:15" ht="52" customHeight="1" x14ac:dyDescent="0.2">
      <c r="A108" s="41" t="s">
        <v>199</v>
      </c>
      <c r="B108" s="238" t="s">
        <v>200</v>
      </c>
      <c r="C108" s="8"/>
      <c r="D108" s="5"/>
      <c r="E108" s="223"/>
      <c r="F108" s="5"/>
      <c r="G108" s="12"/>
      <c r="H108" s="12"/>
      <c r="I108" s="274"/>
      <c r="J108" s="298"/>
      <c r="K108" s="519"/>
      <c r="L108" s="376"/>
      <c r="M108" s="373"/>
      <c r="N108" s="374"/>
      <c r="O108" s="428"/>
    </row>
    <row r="109" spans="1:15" ht="52" customHeight="1" x14ac:dyDescent="0.2">
      <c r="A109" s="13" t="s">
        <v>201</v>
      </c>
      <c r="B109" s="220" t="s">
        <v>202</v>
      </c>
      <c r="C109" s="14">
        <v>1</v>
      </c>
      <c r="D109" s="39" t="s">
        <v>159</v>
      </c>
      <c r="E109" s="246" t="s">
        <v>16</v>
      </c>
      <c r="F109" s="15"/>
      <c r="G109" s="16">
        <v>55</v>
      </c>
      <c r="H109" s="16">
        <v>52.2</v>
      </c>
      <c r="I109" s="268">
        <f t="shared" ref="I109:I119" si="54">ROUND(G109*H109*C109,2)</f>
        <v>2871</v>
      </c>
      <c r="J109" s="268">
        <f t="shared" ref="J109:J119" si="55">ROUND(I109/1000,2)</f>
        <v>2.87</v>
      </c>
      <c r="K109" s="501">
        <f>I109</f>
        <v>2871</v>
      </c>
      <c r="L109" s="361" t="s">
        <v>588</v>
      </c>
      <c r="M109" s="361" t="s">
        <v>588</v>
      </c>
      <c r="N109" s="361" t="s">
        <v>588</v>
      </c>
      <c r="O109" s="447" t="s">
        <v>603</v>
      </c>
    </row>
    <row r="110" spans="1:15" ht="52" customHeight="1" x14ac:dyDescent="0.2">
      <c r="A110" s="13" t="s">
        <v>203</v>
      </c>
      <c r="B110" s="220" t="s">
        <v>204</v>
      </c>
      <c r="C110" s="14">
        <v>1</v>
      </c>
      <c r="D110" s="39" t="s">
        <v>159</v>
      </c>
      <c r="E110" s="246" t="s">
        <v>16</v>
      </c>
      <c r="F110" s="15"/>
      <c r="G110" s="16">
        <v>55</v>
      </c>
      <c r="H110" s="16">
        <v>239.64</v>
      </c>
      <c r="I110" s="268">
        <f t="shared" si="54"/>
        <v>13180.2</v>
      </c>
      <c r="J110" s="268">
        <f t="shared" si="55"/>
        <v>13.18</v>
      </c>
      <c r="K110" s="530">
        <f>I110</f>
        <v>13180.2</v>
      </c>
      <c r="L110" s="352" t="s">
        <v>662</v>
      </c>
      <c r="M110" s="284">
        <v>27404.23</v>
      </c>
      <c r="N110" s="285"/>
      <c r="O110" s="449"/>
    </row>
    <row r="111" spans="1:15" ht="52" customHeight="1" x14ac:dyDescent="0.2">
      <c r="A111" s="13" t="s">
        <v>205</v>
      </c>
      <c r="B111" s="220" t="s">
        <v>206</v>
      </c>
      <c r="C111" s="14">
        <v>0</v>
      </c>
      <c r="D111" s="39" t="s">
        <v>159</v>
      </c>
      <c r="E111" s="246" t="s">
        <v>16</v>
      </c>
      <c r="F111" s="15"/>
      <c r="G111" s="16"/>
      <c r="H111" s="16"/>
      <c r="I111" s="273">
        <f t="shared" si="54"/>
        <v>0</v>
      </c>
      <c r="J111" s="273">
        <f t="shared" si="55"/>
        <v>0</v>
      </c>
      <c r="K111" s="519"/>
      <c r="L111" s="395"/>
      <c r="M111" s="391"/>
      <c r="N111" s="392">
        <f t="shared" si="45"/>
        <v>0</v>
      </c>
      <c r="O111" s="288"/>
    </row>
    <row r="112" spans="1:15" ht="52" customHeight="1" x14ac:dyDescent="0.2">
      <c r="A112" s="13" t="s">
        <v>207</v>
      </c>
      <c r="B112" s="220" t="s">
        <v>208</v>
      </c>
      <c r="C112" s="14">
        <v>1</v>
      </c>
      <c r="D112" s="39" t="s">
        <v>159</v>
      </c>
      <c r="E112" s="246" t="s">
        <v>16</v>
      </c>
      <c r="F112" s="15" t="s">
        <v>87</v>
      </c>
      <c r="G112" s="16">
        <v>4</v>
      </c>
      <c r="H112" s="16">
        <v>1155.46</v>
      </c>
      <c r="I112" s="268">
        <f t="shared" si="54"/>
        <v>4621.84</v>
      </c>
      <c r="J112" s="268">
        <f t="shared" si="55"/>
        <v>4.62</v>
      </c>
      <c r="K112" s="501">
        <f>I112</f>
        <v>4621.84</v>
      </c>
      <c r="L112" s="361" t="s">
        <v>588</v>
      </c>
      <c r="M112" s="361" t="s">
        <v>588</v>
      </c>
      <c r="N112" s="361" t="s">
        <v>588</v>
      </c>
      <c r="O112" s="288" t="s">
        <v>603</v>
      </c>
    </row>
    <row r="113" spans="1:15" ht="52" customHeight="1" x14ac:dyDescent="0.2">
      <c r="A113" s="13" t="s">
        <v>209</v>
      </c>
      <c r="B113" s="220" t="s">
        <v>210</v>
      </c>
      <c r="C113" s="14">
        <v>0</v>
      </c>
      <c r="D113" s="39" t="s">
        <v>22</v>
      </c>
      <c r="E113" s="246" t="s">
        <v>16</v>
      </c>
      <c r="F113" s="15"/>
      <c r="G113" s="16"/>
      <c r="H113" s="16"/>
      <c r="I113" s="273">
        <f t="shared" si="54"/>
        <v>0</v>
      </c>
      <c r="J113" s="273">
        <f t="shared" si="55"/>
        <v>0</v>
      </c>
      <c r="K113" s="519"/>
      <c r="L113" s="395"/>
      <c r="M113" s="391"/>
      <c r="N113" s="392">
        <f t="shared" si="45"/>
        <v>0</v>
      </c>
      <c r="O113" s="288"/>
    </row>
    <row r="114" spans="1:15" ht="52" customHeight="1" x14ac:dyDescent="0.2">
      <c r="A114" s="13" t="s">
        <v>211</v>
      </c>
      <c r="B114" s="242" t="s">
        <v>212</v>
      </c>
      <c r="C114" s="14">
        <v>1</v>
      </c>
      <c r="D114" s="39" t="s">
        <v>159</v>
      </c>
      <c r="E114" s="246" t="s">
        <v>16</v>
      </c>
      <c r="F114" s="15" t="s">
        <v>87</v>
      </c>
      <c r="G114" s="16"/>
      <c r="H114" s="16"/>
      <c r="I114" s="273">
        <f t="shared" si="54"/>
        <v>0</v>
      </c>
      <c r="J114" s="273">
        <f t="shared" si="55"/>
        <v>0</v>
      </c>
      <c r="K114" s="519"/>
      <c r="L114" s="395"/>
      <c r="M114" s="391"/>
      <c r="N114" s="392">
        <f t="shared" si="45"/>
        <v>0</v>
      </c>
      <c r="O114" s="288"/>
    </row>
    <row r="115" spans="1:15" ht="52" customHeight="1" x14ac:dyDescent="0.2">
      <c r="A115" s="13" t="s">
        <v>213</v>
      </c>
      <c r="B115" s="220" t="s">
        <v>214</v>
      </c>
      <c r="C115" s="14">
        <v>0</v>
      </c>
      <c r="D115" s="39" t="s">
        <v>22</v>
      </c>
      <c r="E115" s="246" t="s">
        <v>16</v>
      </c>
      <c r="F115" s="15"/>
      <c r="G115" s="16"/>
      <c r="H115" s="16"/>
      <c r="I115" s="273">
        <f t="shared" si="54"/>
        <v>0</v>
      </c>
      <c r="J115" s="273">
        <f t="shared" si="55"/>
        <v>0</v>
      </c>
      <c r="K115" s="519"/>
      <c r="L115" s="395"/>
      <c r="M115" s="391"/>
      <c r="N115" s="392">
        <f t="shared" si="45"/>
        <v>0</v>
      </c>
      <c r="O115" s="288"/>
    </row>
    <row r="116" spans="1:15" ht="52" customHeight="1" x14ac:dyDescent="0.2">
      <c r="A116" s="13" t="s">
        <v>215</v>
      </c>
      <c r="B116" s="220" t="s">
        <v>216</v>
      </c>
      <c r="C116" s="14">
        <v>0</v>
      </c>
      <c r="D116" s="39" t="s">
        <v>22</v>
      </c>
      <c r="E116" s="246" t="s">
        <v>16</v>
      </c>
      <c r="F116" s="15"/>
      <c r="G116" s="16"/>
      <c r="H116" s="16"/>
      <c r="I116" s="273">
        <f t="shared" si="54"/>
        <v>0</v>
      </c>
      <c r="J116" s="273">
        <f t="shared" si="55"/>
        <v>0</v>
      </c>
      <c r="K116" s="519"/>
      <c r="L116" s="395"/>
      <c r="M116" s="391"/>
      <c r="N116" s="392">
        <f t="shared" si="45"/>
        <v>0</v>
      </c>
      <c r="O116" s="288"/>
    </row>
    <row r="117" spans="1:15" ht="52" customHeight="1" x14ac:dyDescent="0.2">
      <c r="A117" s="13" t="s">
        <v>217</v>
      </c>
      <c r="B117" s="220" t="s">
        <v>218</v>
      </c>
      <c r="C117" s="14">
        <v>0</v>
      </c>
      <c r="D117" s="39" t="s">
        <v>22</v>
      </c>
      <c r="E117" s="246" t="s">
        <v>16</v>
      </c>
      <c r="F117" s="15"/>
      <c r="G117" s="16"/>
      <c r="H117" s="16"/>
      <c r="I117" s="273">
        <f t="shared" si="54"/>
        <v>0</v>
      </c>
      <c r="J117" s="273">
        <f t="shared" si="55"/>
        <v>0</v>
      </c>
      <c r="K117" s="519"/>
      <c r="L117" s="395"/>
      <c r="M117" s="391"/>
      <c r="N117" s="392">
        <f t="shared" si="45"/>
        <v>0</v>
      </c>
      <c r="O117" s="288"/>
    </row>
    <row r="118" spans="1:15" ht="52" customHeight="1" x14ac:dyDescent="0.2">
      <c r="A118" s="13" t="s">
        <v>219</v>
      </c>
      <c r="B118" s="220" t="s">
        <v>220</v>
      </c>
      <c r="C118" s="14">
        <v>1</v>
      </c>
      <c r="D118" s="39" t="s">
        <v>159</v>
      </c>
      <c r="E118" s="246" t="s">
        <v>16</v>
      </c>
      <c r="F118" s="15" t="s">
        <v>87</v>
      </c>
      <c r="G118" s="16"/>
      <c r="H118" s="16"/>
      <c r="I118" s="273">
        <f t="shared" si="54"/>
        <v>0</v>
      </c>
      <c r="J118" s="273">
        <f t="shared" si="55"/>
        <v>0</v>
      </c>
      <c r="K118" s="519"/>
      <c r="L118" s="395"/>
      <c r="M118" s="391"/>
      <c r="N118" s="392">
        <f t="shared" si="45"/>
        <v>0</v>
      </c>
      <c r="O118" s="288"/>
    </row>
    <row r="119" spans="1:15" ht="52" customHeight="1" x14ac:dyDescent="0.2">
      <c r="A119" s="13" t="s">
        <v>221</v>
      </c>
      <c r="B119" s="242" t="s">
        <v>222</v>
      </c>
      <c r="C119" s="14">
        <v>1</v>
      </c>
      <c r="D119" s="39" t="s">
        <v>159</v>
      </c>
      <c r="E119" s="246" t="s">
        <v>16</v>
      </c>
      <c r="F119" s="15" t="s">
        <v>87</v>
      </c>
      <c r="G119" s="16"/>
      <c r="H119" s="16"/>
      <c r="I119" s="273">
        <f t="shared" si="54"/>
        <v>0</v>
      </c>
      <c r="J119" s="273">
        <f t="shared" si="55"/>
        <v>0</v>
      </c>
      <c r="K119" s="519"/>
      <c r="L119" s="395"/>
      <c r="M119" s="391"/>
      <c r="N119" s="392">
        <f t="shared" si="45"/>
        <v>0</v>
      </c>
      <c r="O119" s="288"/>
    </row>
    <row r="120" spans="1:15" ht="52" customHeight="1" x14ac:dyDescent="0.2">
      <c r="A120" s="41" t="s">
        <v>223</v>
      </c>
      <c r="B120" s="238" t="s">
        <v>224</v>
      </c>
      <c r="C120" s="8"/>
      <c r="D120" s="5"/>
      <c r="E120" s="223"/>
      <c r="F120" s="5"/>
      <c r="G120" s="12"/>
      <c r="H120" s="12"/>
      <c r="I120" s="274"/>
      <c r="J120" s="274"/>
      <c r="K120" s="519"/>
      <c r="L120" s="376"/>
      <c r="M120" s="373"/>
      <c r="N120" s="374"/>
      <c r="O120" s="428"/>
    </row>
    <row r="121" spans="1:15" ht="52" customHeight="1" x14ac:dyDescent="0.2">
      <c r="A121" s="13" t="s">
        <v>225</v>
      </c>
      <c r="B121" s="220" t="s">
        <v>226</v>
      </c>
      <c r="C121" s="14">
        <v>1</v>
      </c>
      <c r="D121" s="39" t="s">
        <v>192</v>
      </c>
      <c r="E121" s="246" t="s">
        <v>16</v>
      </c>
      <c r="F121" s="15" t="s">
        <v>17</v>
      </c>
      <c r="G121" s="16">
        <v>300</v>
      </c>
      <c r="H121" s="16">
        <v>427.89</v>
      </c>
      <c r="I121" s="268">
        <f t="shared" ref="I121:I126" si="56">ROUND(G121*H121*C121,2)</f>
        <v>128367</v>
      </c>
      <c r="J121" s="268">
        <f t="shared" ref="J121:J126" si="57">ROUND(I121/1000,2)</f>
        <v>128.37</v>
      </c>
      <c r="K121" s="530">
        <f>I121</f>
        <v>128367</v>
      </c>
      <c r="L121" s="379" t="s">
        <v>663</v>
      </c>
      <c r="M121" s="284">
        <v>180622.57</v>
      </c>
      <c r="N121" s="285"/>
      <c r="O121" s="447" t="s">
        <v>667</v>
      </c>
    </row>
    <row r="122" spans="1:15" ht="52" customHeight="1" x14ac:dyDescent="0.2">
      <c r="A122" s="13"/>
      <c r="B122" s="220" t="s">
        <v>227</v>
      </c>
      <c r="C122" s="14">
        <v>1</v>
      </c>
      <c r="D122" s="39" t="s">
        <v>192</v>
      </c>
      <c r="E122" s="246" t="s">
        <v>16</v>
      </c>
      <c r="F122" s="15" t="s">
        <v>228</v>
      </c>
      <c r="G122" s="16">
        <v>200</v>
      </c>
      <c r="H122" s="16">
        <v>51.71</v>
      </c>
      <c r="I122" s="268">
        <f t="shared" si="56"/>
        <v>10342</v>
      </c>
      <c r="J122" s="268">
        <f t="shared" si="57"/>
        <v>10.34</v>
      </c>
      <c r="K122" s="530">
        <f t="shared" ref="K122:K123" si="58">I122</f>
        <v>10342</v>
      </c>
      <c r="L122" s="379" t="s">
        <v>664</v>
      </c>
      <c r="M122" s="284">
        <v>31467.200000000001</v>
      </c>
      <c r="N122" s="285"/>
      <c r="O122" s="448"/>
    </row>
    <row r="123" spans="1:15" ht="52" customHeight="1" x14ac:dyDescent="0.2">
      <c r="A123" s="13" t="s">
        <v>229</v>
      </c>
      <c r="B123" s="220" t="s">
        <v>230</v>
      </c>
      <c r="C123" s="14">
        <v>1</v>
      </c>
      <c r="D123" s="39" t="s">
        <v>192</v>
      </c>
      <c r="E123" s="246" t="s">
        <v>16</v>
      </c>
      <c r="F123" s="15" t="s">
        <v>17</v>
      </c>
      <c r="G123" s="16">
        <v>150</v>
      </c>
      <c r="H123" s="16">
        <v>287.04000000000002</v>
      </c>
      <c r="I123" s="268">
        <f t="shared" si="56"/>
        <v>43056</v>
      </c>
      <c r="J123" s="268">
        <f t="shared" si="57"/>
        <v>43.06</v>
      </c>
      <c r="K123" s="530">
        <f t="shared" si="58"/>
        <v>43056</v>
      </c>
      <c r="L123" s="403" t="s">
        <v>665</v>
      </c>
      <c r="M123" s="284">
        <v>115719.29</v>
      </c>
      <c r="N123" s="285"/>
      <c r="O123" s="449"/>
    </row>
    <row r="124" spans="1:15" ht="52" customHeight="1" x14ac:dyDescent="0.2">
      <c r="A124" s="13" t="s">
        <v>231</v>
      </c>
      <c r="B124" s="220" t="s">
        <v>232</v>
      </c>
      <c r="C124" s="14">
        <v>1</v>
      </c>
      <c r="D124" s="39" t="s">
        <v>192</v>
      </c>
      <c r="E124" s="246" t="s">
        <v>16</v>
      </c>
      <c r="F124" s="15" t="s">
        <v>87</v>
      </c>
      <c r="G124" s="16"/>
      <c r="H124" s="16"/>
      <c r="I124" s="273">
        <f t="shared" si="56"/>
        <v>0</v>
      </c>
      <c r="J124" s="273">
        <f t="shared" si="57"/>
        <v>0</v>
      </c>
      <c r="K124" s="519"/>
      <c r="L124" s="395"/>
      <c r="M124" s="391"/>
      <c r="N124" s="392">
        <f t="shared" si="45"/>
        <v>0</v>
      </c>
      <c r="O124" s="288"/>
    </row>
    <row r="125" spans="1:15" ht="52" customHeight="1" x14ac:dyDescent="0.2">
      <c r="A125" s="13"/>
      <c r="B125" s="220" t="s">
        <v>233</v>
      </c>
      <c r="C125" s="14">
        <v>1</v>
      </c>
      <c r="D125" s="39" t="s">
        <v>192</v>
      </c>
      <c r="E125" s="246" t="s">
        <v>36</v>
      </c>
      <c r="F125" s="15" t="s">
        <v>17</v>
      </c>
      <c r="G125" s="16">
        <v>200</v>
      </c>
      <c r="H125" s="16">
        <v>4006.48</v>
      </c>
      <c r="I125" s="268">
        <f t="shared" si="56"/>
        <v>801296</v>
      </c>
      <c r="J125" s="268">
        <f t="shared" si="57"/>
        <v>801.3</v>
      </c>
      <c r="K125" s="519">
        <f>N125</f>
        <v>492884.95199999999</v>
      </c>
      <c r="L125" s="352" t="s">
        <v>615</v>
      </c>
      <c r="M125" s="284">
        <v>410737.46</v>
      </c>
      <c r="N125" s="285">
        <f t="shared" si="45"/>
        <v>492884.95199999999</v>
      </c>
      <c r="O125" s="288" t="s">
        <v>666</v>
      </c>
    </row>
    <row r="126" spans="1:15" ht="52" customHeight="1" x14ac:dyDescent="0.2">
      <c r="A126" s="13" t="s">
        <v>234</v>
      </c>
      <c r="B126" s="220" t="s">
        <v>235</v>
      </c>
      <c r="C126" s="14">
        <v>1</v>
      </c>
      <c r="D126" s="39" t="s">
        <v>81</v>
      </c>
      <c r="E126" s="246" t="s">
        <v>16</v>
      </c>
      <c r="F126" s="15" t="s">
        <v>87</v>
      </c>
      <c r="G126" s="16"/>
      <c r="H126" s="16"/>
      <c r="I126" s="273">
        <f t="shared" si="56"/>
        <v>0</v>
      </c>
      <c r="J126" s="273">
        <f t="shared" si="57"/>
        <v>0</v>
      </c>
      <c r="K126" s="519"/>
      <c r="L126" s="395"/>
      <c r="M126" s="391"/>
      <c r="N126" s="392">
        <f t="shared" si="45"/>
        <v>0</v>
      </c>
      <c r="O126" s="288"/>
    </row>
    <row r="127" spans="1:15" ht="52" customHeight="1" x14ac:dyDescent="0.2">
      <c r="A127" s="41" t="s">
        <v>236</v>
      </c>
      <c r="B127" s="238" t="s">
        <v>237</v>
      </c>
      <c r="C127" s="8"/>
      <c r="D127" s="5"/>
      <c r="E127" s="223"/>
      <c r="F127" s="5"/>
      <c r="G127" s="12"/>
      <c r="H127" s="12"/>
      <c r="I127" s="274"/>
      <c r="J127" s="274"/>
      <c r="K127" s="519"/>
      <c r="L127" s="376"/>
      <c r="M127" s="373"/>
      <c r="N127" s="374"/>
      <c r="O127" s="428"/>
    </row>
    <row r="128" spans="1:15" ht="52" customHeight="1" x14ac:dyDescent="0.2">
      <c r="A128" s="45" t="s">
        <v>238</v>
      </c>
      <c r="B128" s="240" t="s">
        <v>239</v>
      </c>
      <c r="C128" s="8">
        <v>0</v>
      </c>
      <c r="D128" s="6" t="s">
        <v>22</v>
      </c>
      <c r="E128" s="223" t="s">
        <v>16</v>
      </c>
      <c r="F128" s="5"/>
      <c r="G128" s="12"/>
      <c r="H128" s="12"/>
      <c r="I128" s="297">
        <f t="shared" ref="I128:I132" si="59">ROUND(G128*H128*C128,2)</f>
        <v>0</v>
      </c>
      <c r="J128" s="297">
        <f t="shared" ref="J128:J132" si="60">ROUND(I128/1000,2)</f>
        <v>0</v>
      </c>
      <c r="K128" s="519"/>
      <c r="L128" s="397"/>
      <c r="M128" s="391"/>
      <c r="N128" s="392">
        <f t="shared" si="45"/>
        <v>0</v>
      </c>
      <c r="O128" s="288"/>
    </row>
    <row r="129" spans="1:15" ht="52" customHeight="1" x14ac:dyDescent="0.2">
      <c r="A129" s="45" t="s">
        <v>240</v>
      </c>
      <c r="B129" s="240" t="s">
        <v>241</v>
      </c>
      <c r="C129" s="8"/>
      <c r="D129" s="5"/>
      <c r="E129" s="223" t="s">
        <v>16</v>
      </c>
      <c r="F129" s="5"/>
      <c r="G129" s="12"/>
      <c r="H129" s="12"/>
      <c r="I129" s="297">
        <f t="shared" si="59"/>
        <v>0</v>
      </c>
      <c r="J129" s="297">
        <f t="shared" si="60"/>
        <v>0</v>
      </c>
      <c r="K129" s="519"/>
      <c r="L129" s="398"/>
      <c r="M129" s="391"/>
      <c r="N129" s="392">
        <f t="shared" si="45"/>
        <v>0</v>
      </c>
      <c r="O129" s="288"/>
    </row>
    <row r="130" spans="1:15" ht="52" customHeight="1" x14ac:dyDescent="0.2">
      <c r="A130" s="45" t="s">
        <v>242</v>
      </c>
      <c r="B130" s="240" t="s">
        <v>243</v>
      </c>
      <c r="C130" s="8">
        <v>1</v>
      </c>
      <c r="D130" s="46" t="s">
        <v>244</v>
      </c>
      <c r="E130" s="223" t="s">
        <v>16</v>
      </c>
      <c r="F130" s="5" t="s">
        <v>87</v>
      </c>
      <c r="G130" s="12"/>
      <c r="H130" s="12"/>
      <c r="I130" s="297">
        <f t="shared" si="59"/>
        <v>0</v>
      </c>
      <c r="J130" s="297">
        <f t="shared" si="60"/>
        <v>0</v>
      </c>
      <c r="K130" s="519"/>
      <c r="L130" s="398"/>
      <c r="M130" s="391"/>
      <c r="N130" s="392">
        <f t="shared" si="45"/>
        <v>0</v>
      </c>
      <c r="O130" s="288"/>
    </row>
    <row r="131" spans="1:15" ht="52" customHeight="1" x14ac:dyDescent="0.2">
      <c r="A131" s="45" t="s">
        <v>245</v>
      </c>
      <c r="B131" s="241" t="s">
        <v>246</v>
      </c>
      <c r="C131" s="8">
        <v>0</v>
      </c>
      <c r="D131" s="6" t="s">
        <v>22</v>
      </c>
      <c r="E131" s="223" t="s">
        <v>16</v>
      </c>
      <c r="F131" s="5"/>
      <c r="G131" s="12"/>
      <c r="H131" s="12"/>
      <c r="I131" s="297">
        <f t="shared" si="59"/>
        <v>0</v>
      </c>
      <c r="J131" s="297">
        <f t="shared" si="60"/>
        <v>0</v>
      </c>
      <c r="K131" s="519"/>
      <c r="L131" s="398"/>
      <c r="M131" s="391"/>
      <c r="N131" s="392">
        <f t="shared" si="45"/>
        <v>0</v>
      </c>
      <c r="O131" s="288"/>
    </row>
    <row r="132" spans="1:15" ht="52" customHeight="1" x14ac:dyDescent="0.2">
      <c r="A132" s="45" t="s">
        <v>247</v>
      </c>
      <c r="B132" s="240" t="s">
        <v>248</v>
      </c>
      <c r="C132" s="8">
        <v>1</v>
      </c>
      <c r="D132" s="6" t="s">
        <v>81</v>
      </c>
      <c r="E132" s="223" t="s">
        <v>16</v>
      </c>
      <c r="F132" s="5" t="s">
        <v>87</v>
      </c>
      <c r="G132" s="12"/>
      <c r="H132" s="12"/>
      <c r="I132" s="297">
        <f t="shared" si="59"/>
        <v>0</v>
      </c>
      <c r="J132" s="297">
        <f t="shared" si="60"/>
        <v>0</v>
      </c>
      <c r="K132" s="519"/>
      <c r="L132" s="398"/>
      <c r="M132" s="391"/>
      <c r="N132" s="392">
        <f t="shared" si="45"/>
        <v>0</v>
      </c>
      <c r="O132" s="288"/>
    </row>
    <row r="133" spans="1:15" ht="52" customHeight="1" x14ac:dyDescent="0.2">
      <c r="A133" s="301"/>
      <c r="B133" s="302" t="s">
        <v>249</v>
      </c>
      <c r="C133" s="303"/>
      <c r="D133" s="304"/>
      <c r="E133" s="304"/>
      <c r="F133" s="304"/>
      <c r="G133" s="305"/>
      <c r="H133" s="305"/>
      <c r="I133" s="306">
        <f t="shared" ref="I133:K133" si="61">SUM(I72:I132)</f>
        <v>3022246.36</v>
      </c>
      <c r="J133" s="306">
        <f t="shared" si="61"/>
        <v>3022.25</v>
      </c>
      <c r="K133" s="306">
        <f t="shared" si="61"/>
        <v>1650683.432</v>
      </c>
      <c r="L133" s="384"/>
      <c r="M133" s="385"/>
      <c r="N133" s="386">
        <f t="shared" si="45"/>
        <v>0</v>
      </c>
      <c r="O133" s="425"/>
    </row>
    <row r="134" spans="1:15" ht="52" customHeight="1" x14ac:dyDescent="0.2">
      <c r="A134" s="41" t="s">
        <v>250</v>
      </c>
      <c r="B134" s="238" t="s">
        <v>251</v>
      </c>
      <c r="C134" s="8"/>
      <c r="D134" s="5"/>
      <c r="E134" s="223"/>
      <c r="F134" s="5"/>
      <c r="G134" s="12"/>
      <c r="H134" s="12"/>
      <c r="I134" s="274"/>
      <c r="J134" s="274"/>
      <c r="K134" s="519"/>
      <c r="L134" s="404"/>
      <c r="M134" s="284"/>
      <c r="N134" s="285">
        <f t="shared" si="45"/>
        <v>0</v>
      </c>
      <c r="O134" s="288"/>
    </row>
    <row r="135" spans="1:15" ht="52" customHeight="1" x14ac:dyDescent="0.2">
      <c r="A135" s="13" t="s">
        <v>252</v>
      </c>
      <c r="B135" s="220" t="s">
        <v>253</v>
      </c>
      <c r="C135" s="14">
        <v>1</v>
      </c>
      <c r="D135" s="39" t="s">
        <v>138</v>
      </c>
      <c r="E135" s="246" t="s">
        <v>16</v>
      </c>
      <c r="F135" s="15" t="s">
        <v>25</v>
      </c>
      <c r="G135" s="16">
        <v>7</v>
      </c>
      <c r="H135" s="16">
        <v>94.6</v>
      </c>
      <c r="I135" s="268">
        <f t="shared" ref="I135:I158" si="62">ROUND(G135*H135*C135,2)</f>
        <v>662.2</v>
      </c>
      <c r="J135" s="268">
        <f t="shared" ref="J135:J163" si="63">ROUND(I135/1000,2)</f>
        <v>0.66</v>
      </c>
      <c r="K135" s="530">
        <f>I135</f>
        <v>662.2</v>
      </c>
      <c r="L135" s="380" t="s">
        <v>668</v>
      </c>
      <c r="M135" s="284">
        <v>4168.0600000000004</v>
      </c>
      <c r="N135" s="285"/>
      <c r="O135" s="431" t="s">
        <v>618</v>
      </c>
    </row>
    <row r="136" spans="1:15" ht="52" customHeight="1" x14ac:dyDescent="0.2">
      <c r="A136" s="13" t="s">
        <v>254</v>
      </c>
      <c r="B136" s="236" t="s">
        <v>255</v>
      </c>
      <c r="C136" s="14">
        <v>1</v>
      </c>
      <c r="D136" s="39" t="s">
        <v>138</v>
      </c>
      <c r="E136" s="246" t="s">
        <v>16</v>
      </c>
      <c r="F136" s="15" t="s">
        <v>37</v>
      </c>
      <c r="G136" s="16">
        <v>7</v>
      </c>
      <c r="H136" s="16">
        <v>30.92</v>
      </c>
      <c r="I136" s="268">
        <f t="shared" si="62"/>
        <v>216.44</v>
      </c>
      <c r="J136" s="268">
        <f t="shared" si="63"/>
        <v>0.22</v>
      </c>
      <c r="K136" s="530">
        <f>I136</f>
        <v>216.44</v>
      </c>
      <c r="L136" s="380" t="s">
        <v>669</v>
      </c>
      <c r="M136" s="284">
        <v>1220.25</v>
      </c>
      <c r="N136" s="285"/>
      <c r="O136" s="431" t="s">
        <v>618</v>
      </c>
    </row>
    <row r="137" spans="1:15" ht="52" customHeight="1" x14ac:dyDescent="0.2">
      <c r="A137" s="13" t="s">
        <v>254</v>
      </c>
      <c r="B137" s="242" t="s">
        <v>256</v>
      </c>
      <c r="C137" s="14">
        <v>1</v>
      </c>
      <c r="D137" s="44" t="s">
        <v>244</v>
      </c>
      <c r="E137" s="246" t="s">
        <v>16</v>
      </c>
      <c r="F137" s="15" t="s">
        <v>87</v>
      </c>
      <c r="G137" s="16">
        <v>1</v>
      </c>
      <c r="H137" s="16">
        <v>56782</v>
      </c>
      <c r="I137" s="268">
        <f t="shared" si="62"/>
        <v>56782</v>
      </c>
      <c r="J137" s="268">
        <f t="shared" si="63"/>
        <v>56.78</v>
      </c>
      <c r="K137" s="501">
        <f>I137</f>
        <v>56782</v>
      </c>
      <c r="L137" s="460" t="s">
        <v>619</v>
      </c>
      <c r="M137" s="461"/>
      <c r="N137" s="462"/>
      <c r="O137" s="431" t="s">
        <v>603</v>
      </c>
    </row>
    <row r="138" spans="1:15" ht="52" customHeight="1" x14ac:dyDescent="0.2">
      <c r="A138" s="13" t="s">
        <v>257</v>
      </c>
      <c r="B138" s="220" t="s">
        <v>258</v>
      </c>
      <c r="C138" s="14">
        <v>1</v>
      </c>
      <c r="D138" s="39" t="s">
        <v>138</v>
      </c>
      <c r="E138" s="246" t="s">
        <v>16</v>
      </c>
      <c r="F138" s="15" t="s">
        <v>37</v>
      </c>
      <c r="G138" s="16">
        <f>868+42</f>
        <v>910</v>
      </c>
      <c r="H138" s="16"/>
      <c r="I138" s="273">
        <f t="shared" si="62"/>
        <v>0</v>
      </c>
      <c r="J138" s="273">
        <f t="shared" si="63"/>
        <v>0</v>
      </c>
      <c r="K138" s="519"/>
      <c r="L138" s="390" t="s">
        <v>588</v>
      </c>
      <c r="M138" s="391" t="s">
        <v>588</v>
      </c>
      <c r="N138" s="391" t="s">
        <v>588</v>
      </c>
      <c r="O138" s="431" t="s">
        <v>603</v>
      </c>
    </row>
    <row r="139" spans="1:15" ht="52" customHeight="1" x14ac:dyDescent="0.2">
      <c r="A139" s="13" t="s">
        <v>259</v>
      </c>
      <c r="B139" s="220" t="s">
        <v>260</v>
      </c>
      <c r="C139" s="14">
        <v>1</v>
      </c>
      <c r="D139" s="39" t="s">
        <v>138</v>
      </c>
      <c r="E139" s="246" t="s">
        <v>16</v>
      </c>
      <c r="F139" s="15" t="s">
        <v>37</v>
      </c>
      <c r="G139" s="16">
        <v>910</v>
      </c>
      <c r="H139" s="16">
        <v>78.05</v>
      </c>
      <c r="I139" s="268">
        <f t="shared" si="62"/>
        <v>71025.5</v>
      </c>
      <c r="J139" s="268">
        <f t="shared" si="63"/>
        <v>71.03</v>
      </c>
      <c r="K139" s="530">
        <f>I139</f>
        <v>71025.5</v>
      </c>
      <c r="L139" s="402" t="s">
        <v>622</v>
      </c>
      <c r="M139" s="258">
        <v>74266.399999999994</v>
      </c>
      <c r="N139" s="285"/>
      <c r="O139" s="431" t="s">
        <v>624</v>
      </c>
    </row>
    <row r="140" spans="1:15" ht="52" customHeight="1" x14ac:dyDescent="0.2">
      <c r="A140" s="13" t="s">
        <v>261</v>
      </c>
      <c r="B140" s="220" t="s">
        <v>262</v>
      </c>
      <c r="C140" s="14">
        <v>2</v>
      </c>
      <c r="D140" s="39" t="s">
        <v>138</v>
      </c>
      <c r="E140" s="246" t="s">
        <v>16</v>
      </c>
      <c r="F140" s="15" t="s">
        <v>37</v>
      </c>
      <c r="G140" s="16">
        <v>24</v>
      </c>
      <c r="H140" s="16">
        <v>37.85</v>
      </c>
      <c r="I140" s="268">
        <f t="shared" si="62"/>
        <v>1816.8</v>
      </c>
      <c r="J140" s="268">
        <f t="shared" si="63"/>
        <v>1.82</v>
      </c>
      <c r="K140" s="530">
        <f>I140</f>
        <v>1816.8</v>
      </c>
      <c r="L140" s="402" t="s">
        <v>588</v>
      </c>
      <c r="M140" s="367" t="s">
        <v>588</v>
      </c>
      <c r="N140" s="367" t="s">
        <v>588</v>
      </c>
      <c r="O140" s="431" t="s">
        <v>603</v>
      </c>
    </row>
    <row r="141" spans="1:15" ht="52" customHeight="1" x14ac:dyDescent="0.2">
      <c r="A141" s="13" t="s">
        <v>263</v>
      </c>
      <c r="B141" s="242" t="s">
        <v>264</v>
      </c>
      <c r="C141" s="14">
        <v>1</v>
      </c>
      <c r="D141" s="39" t="s">
        <v>159</v>
      </c>
      <c r="E141" s="246" t="s">
        <v>16</v>
      </c>
      <c r="F141" s="15" t="s">
        <v>87</v>
      </c>
      <c r="G141" s="16">
        <v>12</v>
      </c>
      <c r="H141" s="16">
        <v>57450</v>
      </c>
      <c r="I141" s="268">
        <f t="shared" si="62"/>
        <v>689400</v>
      </c>
      <c r="J141" s="268">
        <f t="shared" si="63"/>
        <v>689.4</v>
      </c>
      <c r="K141" s="507">
        <f>I141</f>
        <v>689400</v>
      </c>
      <c r="L141" s="468" t="s">
        <v>620</v>
      </c>
      <c r="M141" s="461"/>
      <c r="N141" s="462"/>
      <c r="O141" s="431" t="s">
        <v>603</v>
      </c>
    </row>
    <row r="142" spans="1:15" ht="52" customHeight="1" x14ac:dyDescent="0.2">
      <c r="A142" s="13" t="s">
        <v>265</v>
      </c>
      <c r="B142" s="322" t="s">
        <v>266</v>
      </c>
      <c r="C142" s="14">
        <v>1</v>
      </c>
      <c r="D142" s="39" t="s">
        <v>159</v>
      </c>
      <c r="E142" s="246" t="s">
        <v>16</v>
      </c>
      <c r="F142" s="15" t="s">
        <v>87</v>
      </c>
      <c r="G142" s="16">
        <v>12</v>
      </c>
      <c r="H142" s="16">
        <v>9800</v>
      </c>
      <c r="I142" s="268">
        <f t="shared" si="62"/>
        <v>117600</v>
      </c>
      <c r="J142" s="268">
        <f t="shared" si="63"/>
        <v>117.6</v>
      </c>
      <c r="K142" s="501">
        <f>I142</f>
        <v>117600</v>
      </c>
      <c r="L142" s="352" t="s">
        <v>588</v>
      </c>
      <c r="M142" s="367" t="s">
        <v>588</v>
      </c>
      <c r="N142" s="367" t="s">
        <v>588</v>
      </c>
      <c r="O142" s="431" t="s">
        <v>621</v>
      </c>
    </row>
    <row r="143" spans="1:15" ht="52" customHeight="1" x14ac:dyDescent="0.2">
      <c r="A143" s="33" t="s">
        <v>267</v>
      </c>
      <c r="B143" s="324" t="s">
        <v>268</v>
      </c>
      <c r="C143" s="36">
        <v>1</v>
      </c>
      <c r="D143" s="39" t="s">
        <v>81</v>
      </c>
      <c r="E143" s="246" t="s">
        <v>16</v>
      </c>
      <c r="F143" s="15" t="s">
        <v>25</v>
      </c>
      <c r="G143" s="16">
        <v>500</v>
      </c>
      <c r="H143" s="16">
        <v>101.62</v>
      </c>
      <c r="I143" s="268">
        <f t="shared" si="62"/>
        <v>50810</v>
      </c>
      <c r="J143" s="268">
        <f t="shared" si="63"/>
        <v>50.81</v>
      </c>
      <c r="K143" s="501">
        <f t="shared" ref="K143:K144" si="64">I143</f>
        <v>50810</v>
      </c>
      <c r="L143" s="352" t="s">
        <v>623</v>
      </c>
      <c r="M143" s="284">
        <v>57515.53</v>
      </c>
      <c r="N143" s="285"/>
      <c r="O143" s="431" t="s">
        <v>670</v>
      </c>
    </row>
    <row r="144" spans="1:15" ht="52" customHeight="1" x14ac:dyDescent="0.2">
      <c r="A144" s="33" t="s">
        <v>269</v>
      </c>
      <c r="B144" s="324" t="s">
        <v>270</v>
      </c>
      <c r="C144" s="36">
        <v>12</v>
      </c>
      <c r="D144" s="39" t="s">
        <v>138</v>
      </c>
      <c r="E144" s="246" t="s">
        <v>36</v>
      </c>
      <c r="F144" s="15"/>
      <c r="G144" s="16">
        <v>4</v>
      </c>
      <c r="H144" s="16">
        <v>8263.67</v>
      </c>
      <c r="I144" s="268">
        <f t="shared" si="62"/>
        <v>396656.16</v>
      </c>
      <c r="J144" s="268">
        <f t="shared" si="63"/>
        <v>396.66</v>
      </c>
      <c r="K144" s="501">
        <f t="shared" si="64"/>
        <v>396656.16</v>
      </c>
      <c r="L144" s="380" t="s">
        <v>588</v>
      </c>
      <c r="M144" s="367" t="s">
        <v>588</v>
      </c>
      <c r="N144" s="367" t="s">
        <v>588</v>
      </c>
      <c r="O144" s="431" t="s">
        <v>621</v>
      </c>
    </row>
    <row r="145" spans="1:15" ht="52" customHeight="1" x14ac:dyDescent="0.2">
      <c r="A145" s="33" t="s">
        <v>271</v>
      </c>
      <c r="B145" s="324" t="s">
        <v>272</v>
      </c>
      <c r="C145" s="36">
        <v>12</v>
      </c>
      <c r="D145" s="15" t="s">
        <v>15</v>
      </c>
      <c r="E145" s="246" t="s">
        <v>16</v>
      </c>
      <c r="F145" s="15" t="s">
        <v>25</v>
      </c>
      <c r="G145" s="16">
        <v>1263</v>
      </c>
      <c r="H145" s="16">
        <f>180.7</f>
        <v>180.7</v>
      </c>
      <c r="I145" s="268">
        <f t="shared" si="62"/>
        <v>2738689.2</v>
      </c>
      <c r="J145" s="268">
        <f t="shared" si="63"/>
        <v>2738.69</v>
      </c>
      <c r="K145" s="507">
        <f>I145</f>
        <v>2738689.2</v>
      </c>
      <c r="L145" s="469" t="s">
        <v>625</v>
      </c>
      <c r="M145" s="470"/>
      <c r="N145" s="471"/>
      <c r="O145" s="447" t="s">
        <v>621</v>
      </c>
    </row>
    <row r="146" spans="1:15" ht="52" customHeight="1" x14ac:dyDescent="0.2">
      <c r="A146" s="33" t="s">
        <v>273</v>
      </c>
      <c r="B146" s="324" t="s">
        <v>274</v>
      </c>
      <c r="C146" s="36">
        <v>1</v>
      </c>
      <c r="D146" s="15" t="s">
        <v>15</v>
      </c>
      <c r="E146" s="246" t="s">
        <v>16</v>
      </c>
      <c r="F146" s="15" t="s">
        <v>25</v>
      </c>
      <c r="G146" s="16">
        <v>40</v>
      </c>
      <c r="H146" s="16">
        <f>605.47/10</f>
        <v>60.547000000000004</v>
      </c>
      <c r="I146" s="268">
        <f t="shared" si="62"/>
        <v>2421.88</v>
      </c>
      <c r="J146" s="268">
        <f t="shared" si="63"/>
        <v>2.42</v>
      </c>
      <c r="K146" s="507">
        <f>I146</f>
        <v>2421.88</v>
      </c>
      <c r="L146" s="472"/>
      <c r="M146" s="473"/>
      <c r="N146" s="474"/>
      <c r="O146" s="449"/>
    </row>
    <row r="147" spans="1:15" ht="52" customHeight="1" x14ac:dyDescent="0.2">
      <c r="A147" s="325" t="s">
        <v>275</v>
      </c>
      <c r="B147" s="324" t="s">
        <v>276</v>
      </c>
      <c r="C147" s="334">
        <v>1</v>
      </c>
      <c r="D147" s="335" t="s">
        <v>15</v>
      </c>
      <c r="E147" s="336" t="s">
        <v>16</v>
      </c>
      <c r="F147" s="335" t="s">
        <v>37</v>
      </c>
      <c r="G147" s="337"/>
      <c r="H147" s="337"/>
      <c r="I147" s="339">
        <f t="shared" si="62"/>
        <v>0</v>
      </c>
      <c r="J147" s="339">
        <f t="shared" si="63"/>
        <v>0</v>
      </c>
      <c r="K147" s="519"/>
      <c r="L147" s="406"/>
      <c r="M147" s="407"/>
      <c r="N147" s="408">
        <f t="shared" ref="N139:N200" si="65">M147*1.2</f>
        <v>0</v>
      </c>
      <c r="O147" s="288"/>
    </row>
    <row r="148" spans="1:15" ht="52" customHeight="1" x14ac:dyDescent="0.2">
      <c r="A148" s="325" t="s">
        <v>277</v>
      </c>
      <c r="B148" s="324" t="s">
        <v>278</v>
      </c>
      <c r="C148" s="334">
        <v>0</v>
      </c>
      <c r="D148" s="338" t="s">
        <v>22</v>
      </c>
      <c r="E148" s="336" t="s">
        <v>16</v>
      </c>
      <c r="F148" s="335"/>
      <c r="G148" s="337"/>
      <c r="H148" s="337"/>
      <c r="I148" s="339">
        <f t="shared" si="62"/>
        <v>0</v>
      </c>
      <c r="J148" s="339">
        <f t="shared" si="63"/>
        <v>0</v>
      </c>
      <c r="K148" s="519"/>
      <c r="L148" s="406"/>
      <c r="M148" s="407"/>
      <c r="N148" s="408">
        <f t="shared" si="65"/>
        <v>0</v>
      </c>
      <c r="O148" s="288"/>
    </row>
    <row r="149" spans="1:15" ht="52" customHeight="1" x14ac:dyDescent="0.2">
      <c r="A149" s="13" t="s">
        <v>279</v>
      </c>
      <c r="B149" s="323" t="s">
        <v>280</v>
      </c>
      <c r="C149" s="14">
        <v>1</v>
      </c>
      <c r="D149" s="15" t="s">
        <v>15</v>
      </c>
      <c r="E149" s="246" t="s">
        <v>281</v>
      </c>
      <c r="F149" s="15" t="s">
        <v>37</v>
      </c>
      <c r="G149" s="16">
        <v>60</v>
      </c>
      <c r="H149" s="16">
        <v>1014.48</v>
      </c>
      <c r="I149" s="268">
        <f t="shared" si="62"/>
        <v>60868.800000000003</v>
      </c>
      <c r="J149" s="268">
        <f t="shared" si="63"/>
        <v>60.87</v>
      </c>
      <c r="K149" s="519">
        <f>N149</f>
        <v>137.99999999999997</v>
      </c>
      <c r="L149" s="380" t="s">
        <v>671</v>
      </c>
      <c r="M149" s="365">
        <f>2.3/1.2*60</f>
        <v>114.99999999999999</v>
      </c>
      <c r="N149" s="285">
        <f t="shared" si="65"/>
        <v>137.99999999999997</v>
      </c>
      <c r="O149" s="431" t="s">
        <v>621</v>
      </c>
    </row>
    <row r="150" spans="1:15" ht="52" customHeight="1" x14ac:dyDescent="0.2">
      <c r="A150" s="13" t="s">
        <v>282</v>
      </c>
      <c r="B150" s="242" t="s">
        <v>283</v>
      </c>
      <c r="C150" s="14">
        <v>1</v>
      </c>
      <c r="D150" s="44" t="s">
        <v>244</v>
      </c>
      <c r="E150" s="246" t="s">
        <v>36</v>
      </c>
      <c r="F150" s="15" t="s">
        <v>87</v>
      </c>
      <c r="G150" s="16">
        <v>1</v>
      </c>
      <c r="H150" s="16">
        <v>2156854.2400000002</v>
      </c>
      <c r="I150" s="268">
        <f t="shared" si="62"/>
        <v>2156854.2400000002</v>
      </c>
      <c r="J150" s="268">
        <f t="shared" si="63"/>
        <v>2156.85</v>
      </c>
      <c r="K150" s="507">
        <f>I150</f>
        <v>2156854.2400000002</v>
      </c>
      <c r="L150" s="460" t="s">
        <v>620</v>
      </c>
      <c r="M150" s="461"/>
      <c r="N150" s="462"/>
      <c r="O150" s="288" t="s">
        <v>626</v>
      </c>
    </row>
    <row r="151" spans="1:15" ht="52" customHeight="1" x14ac:dyDescent="0.2">
      <c r="A151" s="13" t="s">
        <v>284</v>
      </c>
      <c r="B151" s="242" t="s">
        <v>285</v>
      </c>
      <c r="C151" s="14">
        <v>1</v>
      </c>
      <c r="D151" s="39" t="s">
        <v>159</v>
      </c>
      <c r="E151" s="246" t="s">
        <v>36</v>
      </c>
      <c r="F151" s="15" t="s">
        <v>87</v>
      </c>
      <c r="G151" s="16">
        <v>3</v>
      </c>
      <c r="H151" s="16">
        <v>27733.02</v>
      </c>
      <c r="I151" s="268">
        <f t="shared" si="62"/>
        <v>83199.06</v>
      </c>
      <c r="J151" s="268">
        <f t="shared" si="63"/>
        <v>83.2</v>
      </c>
      <c r="K151" s="507">
        <f t="shared" ref="K151:K154" si="66">I151</f>
        <v>83199.06</v>
      </c>
      <c r="L151" s="460" t="s">
        <v>620</v>
      </c>
      <c r="M151" s="461"/>
      <c r="N151" s="462"/>
      <c r="O151" s="431" t="s">
        <v>626</v>
      </c>
    </row>
    <row r="152" spans="1:15" ht="52" customHeight="1" x14ac:dyDescent="0.2">
      <c r="A152" s="33" t="s">
        <v>286</v>
      </c>
      <c r="B152" s="324" t="s">
        <v>287</v>
      </c>
      <c r="C152" s="36">
        <v>1</v>
      </c>
      <c r="D152" s="39" t="s">
        <v>159</v>
      </c>
      <c r="E152" s="246" t="s">
        <v>36</v>
      </c>
      <c r="F152" s="15" t="s">
        <v>87</v>
      </c>
      <c r="G152" s="16">
        <v>3</v>
      </c>
      <c r="H152" s="16">
        <v>27733.02</v>
      </c>
      <c r="I152" s="268">
        <f t="shared" si="62"/>
        <v>83199.06</v>
      </c>
      <c r="J152" s="268">
        <f t="shared" si="63"/>
        <v>83.2</v>
      </c>
      <c r="K152" s="507">
        <f t="shared" si="66"/>
        <v>83199.06</v>
      </c>
      <c r="L152" s="460" t="s">
        <v>620</v>
      </c>
      <c r="M152" s="461"/>
      <c r="N152" s="462"/>
      <c r="O152" s="431" t="s">
        <v>626</v>
      </c>
    </row>
    <row r="153" spans="1:15" ht="52" customHeight="1" x14ac:dyDescent="0.2">
      <c r="A153" s="33" t="s">
        <v>288</v>
      </c>
      <c r="B153" s="324" t="s">
        <v>289</v>
      </c>
      <c r="C153" s="36">
        <v>1</v>
      </c>
      <c r="D153" s="39" t="s">
        <v>159</v>
      </c>
      <c r="E153" s="246" t="s">
        <v>36</v>
      </c>
      <c r="F153" s="15" t="s">
        <v>87</v>
      </c>
      <c r="G153" s="16">
        <v>3</v>
      </c>
      <c r="H153" s="16">
        <v>76745.48</v>
      </c>
      <c r="I153" s="268">
        <f t="shared" si="62"/>
        <v>230236.44</v>
      </c>
      <c r="J153" s="268">
        <f t="shared" si="63"/>
        <v>230.24</v>
      </c>
      <c r="K153" s="507">
        <f t="shared" si="66"/>
        <v>230236.44</v>
      </c>
      <c r="L153" s="460" t="s">
        <v>620</v>
      </c>
      <c r="M153" s="461"/>
      <c r="N153" s="462"/>
      <c r="O153" s="431" t="s">
        <v>626</v>
      </c>
    </row>
    <row r="154" spans="1:15" ht="52" customHeight="1" x14ac:dyDescent="0.2">
      <c r="A154" s="33" t="s">
        <v>290</v>
      </c>
      <c r="B154" s="324" t="s">
        <v>291</v>
      </c>
      <c r="C154" s="36">
        <v>1</v>
      </c>
      <c r="D154" s="39" t="s">
        <v>159</v>
      </c>
      <c r="E154" s="246" t="s">
        <v>36</v>
      </c>
      <c r="F154" s="15" t="s">
        <v>87</v>
      </c>
      <c r="G154" s="16">
        <v>3</v>
      </c>
      <c r="H154" s="16">
        <v>26144.86</v>
      </c>
      <c r="I154" s="268">
        <f t="shared" si="62"/>
        <v>78434.58</v>
      </c>
      <c r="J154" s="268">
        <f t="shared" si="63"/>
        <v>78.430000000000007</v>
      </c>
      <c r="K154" s="507">
        <f t="shared" si="66"/>
        <v>78434.58</v>
      </c>
      <c r="L154" s="460" t="s">
        <v>620</v>
      </c>
      <c r="M154" s="461"/>
      <c r="N154" s="462"/>
      <c r="O154" s="431" t="s">
        <v>626</v>
      </c>
    </row>
    <row r="155" spans="1:15" ht="52" customHeight="1" x14ac:dyDescent="0.2">
      <c r="A155" s="33"/>
      <c r="B155" s="324" t="s">
        <v>292</v>
      </c>
      <c r="C155" s="36">
        <v>1</v>
      </c>
      <c r="D155" s="39" t="s">
        <v>159</v>
      </c>
      <c r="E155" s="246" t="s">
        <v>16</v>
      </c>
      <c r="F155" s="15" t="s">
        <v>37</v>
      </c>
      <c r="G155" s="16">
        <v>420</v>
      </c>
      <c r="H155" s="16">
        <f>19.26+11.03+7.01</f>
        <v>37.299999999999997</v>
      </c>
      <c r="I155" s="268">
        <f t="shared" si="62"/>
        <v>15666</v>
      </c>
      <c r="J155" s="268">
        <f t="shared" si="63"/>
        <v>15.67</v>
      </c>
      <c r="K155" s="501">
        <f>I155</f>
        <v>15666</v>
      </c>
      <c r="L155" s="380" t="s">
        <v>627</v>
      </c>
      <c r="M155" s="365">
        <v>843524.57</v>
      </c>
      <c r="N155" s="285">
        <f t="shared" si="65"/>
        <v>1012229.4839999999</v>
      </c>
      <c r="O155" s="431" t="s">
        <v>603</v>
      </c>
    </row>
    <row r="156" spans="1:15" ht="52" customHeight="1" x14ac:dyDescent="0.2">
      <c r="A156" s="33"/>
      <c r="B156" s="324" t="s">
        <v>293</v>
      </c>
      <c r="C156" s="36">
        <v>1</v>
      </c>
      <c r="D156" s="39" t="s">
        <v>159</v>
      </c>
      <c r="E156" s="246" t="s">
        <v>16</v>
      </c>
      <c r="F156" s="15" t="s">
        <v>37</v>
      </c>
      <c r="G156" s="16">
        <f>460+450</f>
        <v>910</v>
      </c>
      <c r="H156" s="16">
        <f>22.84+10.51+38.55+14.03</f>
        <v>85.93</v>
      </c>
      <c r="I156" s="268">
        <f t="shared" si="62"/>
        <v>78196.3</v>
      </c>
      <c r="J156" s="268">
        <f t="shared" si="63"/>
        <v>78.2</v>
      </c>
      <c r="K156" s="501">
        <f>I156</f>
        <v>78196.3</v>
      </c>
      <c r="L156" s="405" t="s">
        <v>628</v>
      </c>
      <c r="M156" s="284">
        <v>260769.6</v>
      </c>
      <c r="N156" s="285">
        <f t="shared" si="65"/>
        <v>312923.52000000002</v>
      </c>
      <c r="O156" s="431" t="s">
        <v>603</v>
      </c>
    </row>
    <row r="157" spans="1:15" ht="52" customHeight="1" x14ac:dyDescent="0.2">
      <c r="A157" s="13" t="s">
        <v>294</v>
      </c>
      <c r="B157" s="323" t="s">
        <v>295</v>
      </c>
      <c r="C157" s="14">
        <v>1</v>
      </c>
      <c r="D157" s="44" t="s">
        <v>244</v>
      </c>
      <c r="E157" s="246" t="s">
        <v>16</v>
      </c>
      <c r="F157" s="39" t="s">
        <v>296</v>
      </c>
      <c r="G157" s="16">
        <f>410650/100</f>
        <v>4106.5</v>
      </c>
      <c r="H157" s="16">
        <v>173.6</v>
      </c>
      <c r="I157" s="268">
        <f t="shared" si="62"/>
        <v>712888.4</v>
      </c>
      <c r="J157" s="268">
        <f t="shared" si="63"/>
        <v>712.89</v>
      </c>
      <c r="K157" s="507">
        <f>I157</f>
        <v>712888.4</v>
      </c>
      <c r="L157" s="405" t="s">
        <v>630</v>
      </c>
      <c r="M157" s="284"/>
      <c r="N157" s="285">
        <f t="shared" si="65"/>
        <v>0</v>
      </c>
      <c r="O157" s="431" t="s">
        <v>603</v>
      </c>
    </row>
    <row r="158" spans="1:15" ht="52" customHeight="1" x14ac:dyDescent="0.2">
      <c r="A158" s="13" t="s">
        <v>297</v>
      </c>
      <c r="B158" s="220" t="s">
        <v>298</v>
      </c>
      <c r="C158" s="14">
        <v>1</v>
      </c>
      <c r="D158" s="39" t="s">
        <v>138</v>
      </c>
      <c r="E158" s="246" t="s">
        <v>16</v>
      </c>
      <c r="F158" s="15" t="s">
        <v>37</v>
      </c>
      <c r="G158" s="16">
        <v>4</v>
      </c>
      <c r="H158" s="16">
        <f>20405.59*1.2</f>
        <v>24486.707999999999</v>
      </c>
      <c r="I158" s="268">
        <f t="shared" si="62"/>
        <v>97946.83</v>
      </c>
      <c r="J158" s="268">
        <f t="shared" si="63"/>
        <v>97.95</v>
      </c>
      <c r="K158" s="501">
        <f>I158</f>
        <v>97946.83</v>
      </c>
      <c r="L158" s="460" t="s">
        <v>620</v>
      </c>
      <c r="M158" s="461"/>
      <c r="N158" s="462"/>
      <c r="O158" s="431" t="s">
        <v>603</v>
      </c>
    </row>
    <row r="159" spans="1:15" ht="52" customHeight="1" x14ac:dyDescent="0.2">
      <c r="A159" s="13" t="s">
        <v>299</v>
      </c>
      <c r="B159" s="220" t="s">
        <v>300</v>
      </c>
      <c r="C159" s="14">
        <v>12</v>
      </c>
      <c r="D159" s="39" t="s">
        <v>138</v>
      </c>
      <c r="E159" s="246" t="s">
        <v>109</v>
      </c>
      <c r="F159" s="15" t="s">
        <v>37</v>
      </c>
      <c r="G159" s="16">
        <v>1</v>
      </c>
      <c r="H159" s="16">
        <f>I159/12</f>
        <v>14400</v>
      </c>
      <c r="I159" s="268">
        <v>172800</v>
      </c>
      <c r="J159" s="268">
        <f t="shared" si="63"/>
        <v>172.8</v>
      </c>
      <c r="K159" s="501">
        <f>I159</f>
        <v>172800</v>
      </c>
      <c r="L159" s="460" t="s">
        <v>620</v>
      </c>
      <c r="M159" s="461"/>
      <c r="N159" s="462"/>
      <c r="O159" s="288" t="s">
        <v>629</v>
      </c>
    </row>
    <row r="160" spans="1:15" ht="52" customHeight="1" x14ac:dyDescent="0.2">
      <c r="A160" s="13" t="s">
        <v>301</v>
      </c>
      <c r="B160" s="220" t="s">
        <v>302</v>
      </c>
      <c r="C160" s="14">
        <v>12</v>
      </c>
      <c r="D160" s="15" t="s">
        <v>15</v>
      </c>
      <c r="E160" s="246" t="s">
        <v>109</v>
      </c>
      <c r="F160" s="15" t="s">
        <v>37</v>
      </c>
      <c r="G160" s="16">
        <v>1</v>
      </c>
      <c r="H160" s="16">
        <v>18389.89</v>
      </c>
      <c r="I160" s="268">
        <f t="shared" ref="I160:I163" si="67">ROUND(G160*H160*C160,2)</f>
        <v>220678.68</v>
      </c>
      <c r="J160" s="268">
        <f t="shared" si="63"/>
        <v>220.68</v>
      </c>
      <c r="K160" s="501">
        <f>I160</f>
        <v>220678.68</v>
      </c>
      <c r="L160" s="409" t="s">
        <v>588</v>
      </c>
      <c r="M160" s="284" t="s">
        <v>588</v>
      </c>
      <c r="N160" s="284" t="s">
        <v>588</v>
      </c>
      <c r="O160" s="431" t="s">
        <v>629</v>
      </c>
    </row>
    <row r="161" spans="1:15" ht="52" customHeight="1" x14ac:dyDescent="0.2">
      <c r="A161" s="13" t="s">
        <v>303</v>
      </c>
      <c r="B161" s="242" t="s">
        <v>304</v>
      </c>
      <c r="C161" s="47">
        <v>1</v>
      </c>
      <c r="D161" s="39" t="s">
        <v>81</v>
      </c>
      <c r="E161" s="246" t="s">
        <v>36</v>
      </c>
      <c r="F161" s="15" t="s">
        <v>87</v>
      </c>
      <c r="G161" s="16"/>
      <c r="H161" s="16"/>
      <c r="I161" s="268">
        <f t="shared" si="67"/>
        <v>0</v>
      </c>
      <c r="J161" s="268">
        <f t="shared" si="63"/>
        <v>0</v>
      </c>
      <c r="K161" s="519"/>
      <c r="L161" s="380"/>
      <c r="M161" s="284"/>
      <c r="N161" s="285">
        <v>0</v>
      </c>
      <c r="O161" s="431"/>
    </row>
    <row r="162" spans="1:15" ht="52" customHeight="1" x14ac:dyDescent="0.2">
      <c r="A162" s="13" t="s">
        <v>305</v>
      </c>
      <c r="B162" s="326" t="s">
        <v>306</v>
      </c>
      <c r="C162" s="14">
        <v>1</v>
      </c>
      <c r="D162" s="39" t="s">
        <v>81</v>
      </c>
      <c r="E162" s="246" t="s">
        <v>16</v>
      </c>
      <c r="F162" s="15" t="s">
        <v>37</v>
      </c>
      <c r="G162" s="16">
        <v>25</v>
      </c>
      <c r="H162" s="16">
        <v>1242.3</v>
      </c>
      <c r="I162" s="268">
        <f t="shared" si="67"/>
        <v>31057.5</v>
      </c>
      <c r="J162" s="268">
        <f t="shared" si="63"/>
        <v>31.06</v>
      </c>
      <c r="K162" s="519">
        <f>N162</f>
        <v>17620.14</v>
      </c>
      <c r="L162" s="380" t="s">
        <v>631</v>
      </c>
      <c r="M162" s="284">
        <v>14683.45</v>
      </c>
      <c r="N162" s="285">
        <f t="shared" ref="N162" si="68">M162*1.2</f>
        <v>17620.14</v>
      </c>
      <c r="O162" s="431" t="s">
        <v>603</v>
      </c>
    </row>
    <row r="163" spans="1:15" ht="52" customHeight="1" x14ac:dyDescent="0.2">
      <c r="A163" s="48" t="s">
        <v>307</v>
      </c>
      <c r="B163" s="321" t="s">
        <v>308</v>
      </c>
      <c r="C163" s="49">
        <v>1</v>
      </c>
      <c r="D163" s="40" t="s">
        <v>81</v>
      </c>
      <c r="E163" s="247" t="s">
        <v>16</v>
      </c>
      <c r="F163" s="19" t="s">
        <v>87</v>
      </c>
      <c r="G163" s="20"/>
      <c r="H163" s="20"/>
      <c r="I163" s="269">
        <f t="shared" si="67"/>
        <v>0</v>
      </c>
      <c r="J163" s="269">
        <f t="shared" si="63"/>
        <v>0</v>
      </c>
      <c r="K163" s="531"/>
      <c r="L163" s="366"/>
      <c r="M163" s="284"/>
      <c r="N163" s="285">
        <f t="shared" si="65"/>
        <v>0</v>
      </c>
      <c r="O163" s="288"/>
    </row>
    <row r="164" spans="1:15" ht="52" customHeight="1" x14ac:dyDescent="0.2">
      <c r="A164" s="327"/>
      <c r="B164" s="328" t="s">
        <v>309</v>
      </c>
      <c r="C164" s="329"/>
      <c r="D164" s="330"/>
      <c r="E164" s="331"/>
      <c r="F164" s="330"/>
      <c r="G164" s="332"/>
      <c r="H164" s="332"/>
      <c r="I164" s="333">
        <f t="shared" ref="I164:K164" si="69">SUM(I135:I163)</f>
        <v>8148106.0699999994</v>
      </c>
      <c r="J164" s="333">
        <f t="shared" si="69"/>
        <v>8148.13</v>
      </c>
      <c r="K164" s="522">
        <f t="shared" si="69"/>
        <v>8073937.9099999992</v>
      </c>
      <c r="L164" s="410"/>
      <c r="M164" s="284"/>
      <c r="N164" s="285">
        <f t="shared" si="65"/>
        <v>0</v>
      </c>
      <c r="O164" s="288"/>
    </row>
    <row r="165" spans="1:15" ht="52" customHeight="1" x14ac:dyDescent="0.2">
      <c r="A165" s="41" t="s">
        <v>310</v>
      </c>
      <c r="B165" s="238" t="s">
        <v>311</v>
      </c>
      <c r="C165" s="8"/>
      <c r="D165" s="5"/>
      <c r="E165" s="223"/>
      <c r="F165" s="5"/>
      <c r="G165" s="12"/>
      <c r="H165" s="12"/>
      <c r="I165" s="274"/>
      <c r="J165" s="274"/>
      <c r="K165" s="506"/>
      <c r="L165" s="358"/>
      <c r="M165" s="284"/>
      <c r="N165" s="285">
        <f t="shared" si="65"/>
        <v>0</v>
      </c>
      <c r="O165" s="288"/>
    </row>
    <row r="166" spans="1:15" ht="52" customHeight="1" x14ac:dyDescent="0.2">
      <c r="A166" s="50" t="s">
        <v>312</v>
      </c>
      <c r="B166" s="241" t="s">
        <v>313</v>
      </c>
      <c r="C166" s="51">
        <v>1</v>
      </c>
      <c r="D166" s="6" t="s">
        <v>81</v>
      </c>
      <c r="E166" s="223" t="s">
        <v>16</v>
      </c>
      <c r="F166" s="5" t="s">
        <v>87</v>
      </c>
      <c r="G166" s="12"/>
      <c r="H166" s="12">
        <v>9700</v>
      </c>
      <c r="I166" s="297">
        <f t="shared" ref="I166:I176" si="70">ROUND(G166*H166*C166,2)</f>
        <v>0</v>
      </c>
      <c r="J166" s="297">
        <f t="shared" ref="J166:J176" si="71">ROUND(I166/1000,2)</f>
        <v>0</v>
      </c>
      <c r="K166" s="506"/>
      <c r="L166" s="398" t="s">
        <v>588</v>
      </c>
      <c r="M166" s="391" t="s">
        <v>588</v>
      </c>
      <c r="N166" s="391" t="s">
        <v>588</v>
      </c>
      <c r="O166" s="447" t="s">
        <v>632</v>
      </c>
    </row>
    <row r="167" spans="1:15" ht="52" customHeight="1" x14ac:dyDescent="0.2">
      <c r="A167" s="50" t="s">
        <v>314</v>
      </c>
      <c r="B167" s="240" t="s">
        <v>315</v>
      </c>
      <c r="C167" s="8">
        <v>24</v>
      </c>
      <c r="D167" s="6" t="s">
        <v>15</v>
      </c>
      <c r="E167" s="223" t="s">
        <v>16</v>
      </c>
      <c r="F167" s="5"/>
      <c r="G167" s="12"/>
      <c r="H167" s="12"/>
      <c r="I167" s="297">
        <f t="shared" si="70"/>
        <v>0</v>
      </c>
      <c r="J167" s="297">
        <f t="shared" si="71"/>
        <v>0</v>
      </c>
      <c r="K167" s="506"/>
      <c r="L167" s="398" t="s">
        <v>588</v>
      </c>
      <c r="M167" s="391" t="s">
        <v>588</v>
      </c>
      <c r="N167" s="391" t="s">
        <v>588</v>
      </c>
      <c r="O167" s="448"/>
    </row>
    <row r="168" spans="1:15" ht="52" customHeight="1" x14ac:dyDescent="0.2">
      <c r="A168" s="50" t="s">
        <v>316</v>
      </c>
      <c r="B168" s="241" t="s">
        <v>317</v>
      </c>
      <c r="C168" s="8">
        <v>1</v>
      </c>
      <c r="D168" s="6" t="s">
        <v>15</v>
      </c>
      <c r="E168" s="223" t="s">
        <v>16</v>
      </c>
      <c r="F168" s="6" t="s">
        <v>170</v>
      </c>
      <c r="G168" s="12"/>
      <c r="H168" s="12">
        <v>10.31</v>
      </c>
      <c r="I168" s="297">
        <f t="shared" si="70"/>
        <v>0</v>
      </c>
      <c r="J168" s="297">
        <f t="shared" si="71"/>
        <v>0</v>
      </c>
      <c r="K168" s="506"/>
      <c r="L168" s="398" t="s">
        <v>588</v>
      </c>
      <c r="M168" s="391" t="s">
        <v>588</v>
      </c>
      <c r="N168" s="391" t="s">
        <v>588</v>
      </c>
      <c r="O168" s="448"/>
    </row>
    <row r="169" spans="1:15" ht="52" customHeight="1" x14ac:dyDescent="0.2">
      <c r="A169" s="50" t="s">
        <v>318</v>
      </c>
      <c r="B169" s="240" t="s">
        <v>24</v>
      </c>
      <c r="C169" s="8"/>
      <c r="D169" s="6" t="s">
        <v>15</v>
      </c>
      <c r="E169" s="223" t="s">
        <v>16</v>
      </c>
      <c r="F169" s="6" t="s">
        <v>25</v>
      </c>
      <c r="G169" s="12"/>
      <c r="H169" s="12">
        <v>19.7</v>
      </c>
      <c r="I169" s="297">
        <f t="shared" si="70"/>
        <v>0</v>
      </c>
      <c r="J169" s="297">
        <f t="shared" si="71"/>
        <v>0</v>
      </c>
      <c r="K169" s="506"/>
      <c r="L169" s="398" t="s">
        <v>633</v>
      </c>
      <c r="M169" s="391">
        <v>43.53</v>
      </c>
      <c r="N169" s="392">
        <f>M169*1.2</f>
        <v>52.235999999999997</v>
      </c>
      <c r="O169" s="427" t="s">
        <v>634</v>
      </c>
    </row>
    <row r="170" spans="1:15" ht="52" customHeight="1" x14ac:dyDescent="0.2">
      <c r="A170" s="50" t="s">
        <v>319</v>
      </c>
      <c r="B170" s="240" t="s">
        <v>320</v>
      </c>
      <c r="C170" s="8">
        <v>12</v>
      </c>
      <c r="D170" s="6" t="s">
        <v>15</v>
      </c>
      <c r="E170" s="223" t="s">
        <v>16</v>
      </c>
      <c r="F170" s="6" t="s">
        <v>25</v>
      </c>
      <c r="G170" s="12"/>
      <c r="H170" s="12">
        <v>12.58</v>
      </c>
      <c r="I170" s="297">
        <f t="shared" si="70"/>
        <v>0</v>
      </c>
      <c r="J170" s="297">
        <f t="shared" si="71"/>
        <v>0</v>
      </c>
      <c r="K170" s="506"/>
      <c r="L170" s="398" t="s">
        <v>588</v>
      </c>
      <c r="M170" s="391" t="s">
        <v>588</v>
      </c>
      <c r="N170" s="391" t="s">
        <v>588</v>
      </c>
      <c r="O170" s="447" t="s">
        <v>632</v>
      </c>
    </row>
    <row r="171" spans="1:15" ht="52" customHeight="1" x14ac:dyDescent="0.2">
      <c r="A171" s="50" t="s">
        <v>321</v>
      </c>
      <c r="B171" s="240" t="s">
        <v>322</v>
      </c>
      <c r="C171" s="8">
        <v>12</v>
      </c>
      <c r="D171" s="6" t="s">
        <v>15</v>
      </c>
      <c r="E171" s="223" t="s">
        <v>16</v>
      </c>
      <c r="F171" s="6" t="s">
        <v>25</v>
      </c>
      <c r="G171" s="12"/>
      <c r="H171" s="12">
        <v>63.58</v>
      </c>
      <c r="I171" s="297">
        <f t="shared" si="70"/>
        <v>0</v>
      </c>
      <c r="J171" s="297">
        <f t="shared" si="71"/>
        <v>0</v>
      </c>
      <c r="K171" s="506"/>
      <c r="L171" s="398" t="s">
        <v>588</v>
      </c>
      <c r="M171" s="391" t="s">
        <v>588</v>
      </c>
      <c r="N171" s="391" t="s">
        <v>588</v>
      </c>
      <c r="O171" s="448"/>
    </row>
    <row r="172" spans="1:15" ht="52" customHeight="1" x14ac:dyDescent="0.2">
      <c r="A172" s="50" t="s">
        <v>323</v>
      </c>
      <c r="B172" s="240" t="s">
        <v>324</v>
      </c>
      <c r="C172" s="8">
        <v>1</v>
      </c>
      <c r="D172" s="6" t="s">
        <v>15</v>
      </c>
      <c r="E172" s="223" t="s">
        <v>16</v>
      </c>
      <c r="F172" s="6" t="s">
        <v>170</v>
      </c>
      <c r="G172" s="12"/>
      <c r="H172" s="12">
        <v>223.66</v>
      </c>
      <c r="I172" s="297">
        <f t="shared" si="70"/>
        <v>0</v>
      </c>
      <c r="J172" s="297">
        <f t="shared" si="71"/>
        <v>0</v>
      </c>
      <c r="K172" s="506"/>
      <c r="L172" s="433" t="s">
        <v>636</v>
      </c>
      <c r="M172" s="436">
        <v>51.14</v>
      </c>
      <c r="N172" s="392">
        <f t="shared" si="65"/>
        <v>61.367999999999995</v>
      </c>
      <c r="O172" s="427" t="s">
        <v>635</v>
      </c>
    </row>
    <row r="173" spans="1:15" ht="52" customHeight="1" x14ac:dyDescent="0.2">
      <c r="A173" s="50" t="s">
        <v>325</v>
      </c>
      <c r="B173" s="240" t="s">
        <v>326</v>
      </c>
      <c r="C173" s="8">
        <v>12</v>
      </c>
      <c r="D173" s="6" t="s">
        <v>15</v>
      </c>
      <c r="E173" s="223" t="s">
        <v>16</v>
      </c>
      <c r="F173" s="6" t="s">
        <v>25</v>
      </c>
      <c r="G173" s="12"/>
      <c r="H173" s="12">
        <v>18.899999999999999</v>
      </c>
      <c r="I173" s="297">
        <f t="shared" si="70"/>
        <v>0</v>
      </c>
      <c r="J173" s="297">
        <f t="shared" si="71"/>
        <v>0</v>
      </c>
      <c r="K173" s="506"/>
      <c r="L173" s="435" t="s">
        <v>637</v>
      </c>
      <c r="M173" s="437">
        <v>885.98</v>
      </c>
      <c r="N173" s="392">
        <f t="shared" si="65"/>
        <v>1063.1759999999999</v>
      </c>
      <c r="O173" s="427" t="s">
        <v>635</v>
      </c>
    </row>
    <row r="174" spans="1:15" ht="52" customHeight="1" x14ac:dyDescent="0.2">
      <c r="A174" s="50" t="s">
        <v>327</v>
      </c>
      <c r="B174" s="240" t="s">
        <v>328</v>
      </c>
      <c r="C174" s="51">
        <v>1</v>
      </c>
      <c r="D174" s="6" t="s">
        <v>329</v>
      </c>
      <c r="E174" s="223" t="s">
        <v>16</v>
      </c>
      <c r="F174" s="5" t="s">
        <v>25</v>
      </c>
      <c r="G174" s="12"/>
      <c r="H174" s="12">
        <v>917.16</v>
      </c>
      <c r="I174" s="297">
        <f t="shared" si="70"/>
        <v>0</v>
      </c>
      <c r="J174" s="297">
        <f t="shared" si="71"/>
        <v>0</v>
      </c>
      <c r="K174" s="506"/>
      <c r="L174" s="398" t="s">
        <v>588</v>
      </c>
      <c r="M174" s="391" t="s">
        <v>588</v>
      </c>
      <c r="N174" s="391" t="s">
        <v>588</v>
      </c>
      <c r="O174" s="447" t="s">
        <v>638</v>
      </c>
    </row>
    <row r="175" spans="1:15" ht="52" customHeight="1" x14ac:dyDescent="0.2">
      <c r="A175" s="50" t="s">
        <v>330</v>
      </c>
      <c r="B175" s="240" t="s">
        <v>331</v>
      </c>
      <c r="C175" s="51">
        <v>1</v>
      </c>
      <c r="D175" s="6" t="s">
        <v>81</v>
      </c>
      <c r="E175" s="223" t="s">
        <v>16</v>
      </c>
      <c r="F175" s="5" t="s">
        <v>87</v>
      </c>
      <c r="G175" s="12"/>
      <c r="H175" s="12">
        <v>7520</v>
      </c>
      <c r="I175" s="297">
        <f t="shared" si="70"/>
        <v>0</v>
      </c>
      <c r="J175" s="297">
        <f t="shared" si="71"/>
        <v>0</v>
      </c>
      <c r="K175" s="506"/>
      <c r="L175" s="398" t="s">
        <v>588</v>
      </c>
      <c r="M175" s="391" t="s">
        <v>588</v>
      </c>
      <c r="N175" s="391" t="s">
        <v>588</v>
      </c>
      <c r="O175" s="448"/>
    </row>
    <row r="176" spans="1:15" ht="52" customHeight="1" x14ac:dyDescent="0.2">
      <c r="A176" s="50" t="s">
        <v>332</v>
      </c>
      <c r="B176" s="241" t="s">
        <v>333</v>
      </c>
      <c r="C176" s="51">
        <v>1</v>
      </c>
      <c r="D176" s="6" t="s">
        <v>81</v>
      </c>
      <c r="E176" s="223" t="s">
        <v>16</v>
      </c>
      <c r="F176" s="5" t="s">
        <v>87</v>
      </c>
      <c r="G176" s="12"/>
      <c r="H176" s="12">
        <v>19560</v>
      </c>
      <c r="I176" s="297">
        <f t="shared" si="70"/>
        <v>0</v>
      </c>
      <c r="J176" s="297">
        <f t="shared" si="71"/>
        <v>0</v>
      </c>
      <c r="K176" s="506"/>
      <c r="L176" s="398" t="s">
        <v>640</v>
      </c>
      <c r="M176" s="391" t="s">
        <v>639</v>
      </c>
      <c r="N176" s="391" t="s">
        <v>639</v>
      </c>
      <c r="O176" s="288" t="s">
        <v>638</v>
      </c>
    </row>
    <row r="177" spans="1:15" ht="52" customHeight="1" x14ac:dyDescent="0.2">
      <c r="A177" s="327"/>
      <c r="B177" s="328" t="s">
        <v>334</v>
      </c>
      <c r="C177" s="329"/>
      <c r="D177" s="330"/>
      <c r="E177" s="331"/>
      <c r="F177" s="330"/>
      <c r="G177" s="332"/>
      <c r="H177" s="332"/>
      <c r="I177" s="333">
        <f t="shared" ref="I177:J177" si="72">SUM(I166:I176)</f>
        <v>0</v>
      </c>
      <c r="J177" s="333">
        <f t="shared" si="72"/>
        <v>0</v>
      </c>
      <c r="K177" s="506"/>
      <c r="L177" s="411"/>
      <c r="M177" s="412"/>
      <c r="N177" s="413"/>
      <c r="O177" s="429"/>
    </row>
    <row r="178" spans="1:15" ht="52" customHeight="1" x14ac:dyDescent="0.2">
      <c r="A178" s="41" t="s">
        <v>335</v>
      </c>
      <c r="B178" s="238" t="s">
        <v>336</v>
      </c>
      <c r="C178" s="8"/>
      <c r="D178" s="5"/>
      <c r="E178" s="223"/>
      <c r="F178" s="5"/>
      <c r="G178" s="12"/>
      <c r="H178" s="12"/>
      <c r="I178" s="274"/>
      <c r="J178" s="274"/>
      <c r="K178" s="506"/>
      <c r="L178" s="358"/>
      <c r="M178" s="284"/>
      <c r="N178" s="285">
        <f t="shared" si="65"/>
        <v>0</v>
      </c>
      <c r="O178" s="288"/>
    </row>
    <row r="179" spans="1:15" ht="52" customHeight="1" x14ac:dyDescent="0.2">
      <c r="A179" s="52" t="s">
        <v>337</v>
      </c>
      <c r="B179" s="220" t="s">
        <v>338</v>
      </c>
      <c r="C179" s="14">
        <v>12</v>
      </c>
      <c r="D179" s="39" t="s">
        <v>339</v>
      </c>
      <c r="E179" s="246" t="s">
        <v>16</v>
      </c>
      <c r="F179" s="15" t="s">
        <v>25</v>
      </c>
      <c r="G179" s="16">
        <v>12</v>
      </c>
      <c r="H179" s="16">
        <f>(7635.28+15266.16)*1.2</f>
        <v>27481.727999999999</v>
      </c>
      <c r="I179" s="268">
        <f t="shared" ref="I179:I181" si="73">ROUND(G179*H179*C179,2)</f>
        <v>3957368.83</v>
      </c>
      <c r="J179" s="268">
        <f t="shared" ref="J179:J181" si="74">ROUND(I179/1000,2)</f>
        <v>3957.37</v>
      </c>
      <c r="K179" s="506">
        <f>N179</f>
        <v>2434934.38</v>
      </c>
      <c r="L179" s="464" t="s">
        <v>642</v>
      </c>
      <c r="M179" s="465">
        <v>809531.76</v>
      </c>
      <c r="N179" s="478">
        <v>2434934.38</v>
      </c>
      <c r="O179" s="447" t="s">
        <v>641</v>
      </c>
    </row>
    <row r="180" spans="1:15" ht="52" customHeight="1" x14ac:dyDescent="0.2">
      <c r="A180" s="52" t="s">
        <v>340</v>
      </c>
      <c r="B180" s="217" t="s">
        <v>341</v>
      </c>
      <c r="C180" s="14">
        <v>1</v>
      </c>
      <c r="D180" s="39" t="s">
        <v>81</v>
      </c>
      <c r="E180" s="246" t="s">
        <v>16</v>
      </c>
      <c r="F180" s="15" t="s">
        <v>87</v>
      </c>
      <c r="G180" s="16"/>
      <c r="H180" s="16"/>
      <c r="I180" s="268">
        <f t="shared" si="73"/>
        <v>0</v>
      </c>
      <c r="J180" s="268">
        <f t="shared" si="74"/>
        <v>0</v>
      </c>
      <c r="K180" s="506"/>
      <c r="L180" s="448"/>
      <c r="M180" s="466"/>
      <c r="N180" s="448"/>
      <c r="O180" s="448"/>
    </row>
    <row r="181" spans="1:15" ht="52" customHeight="1" x14ac:dyDescent="0.2">
      <c r="A181" s="52" t="s">
        <v>342</v>
      </c>
      <c r="B181" s="217" t="s">
        <v>343</v>
      </c>
      <c r="C181" s="14">
        <v>1</v>
      </c>
      <c r="D181" s="39" t="s">
        <v>81</v>
      </c>
      <c r="E181" s="246" t="s">
        <v>16</v>
      </c>
      <c r="F181" s="15" t="s">
        <v>87</v>
      </c>
      <c r="G181" s="16">
        <v>0</v>
      </c>
      <c r="H181" s="16"/>
      <c r="I181" s="268">
        <f t="shared" si="73"/>
        <v>0</v>
      </c>
      <c r="J181" s="268">
        <f t="shared" si="74"/>
        <v>0</v>
      </c>
      <c r="K181" s="506"/>
      <c r="L181" s="449"/>
      <c r="M181" s="467"/>
      <c r="N181" s="449"/>
      <c r="O181" s="449"/>
    </row>
    <row r="182" spans="1:15" ht="52" customHeight="1" x14ac:dyDescent="0.2">
      <c r="A182" s="340"/>
      <c r="B182" s="290" t="s">
        <v>344</v>
      </c>
      <c r="C182" s="291"/>
      <c r="D182" s="292"/>
      <c r="E182" s="293"/>
      <c r="F182" s="292"/>
      <c r="G182" s="294"/>
      <c r="H182" s="294"/>
      <c r="I182" s="295">
        <f t="shared" ref="I182:K182" si="75">SUM(I179:I181)</f>
        <v>3957368.83</v>
      </c>
      <c r="J182" s="295">
        <f t="shared" si="75"/>
        <v>3957.37</v>
      </c>
      <c r="K182" s="520">
        <f t="shared" si="75"/>
        <v>2434934.38</v>
      </c>
      <c r="L182" s="414"/>
      <c r="M182" s="385"/>
      <c r="N182" s="386">
        <f t="shared" si="65"/>
        <v>0</v>
      </c>
      <c r="O182" s="425"/>
    </row>
    <row r="183" spans="1:15" ht="52" customHeight="1" x14ac:dyDescent="0.2">
      <c r="A183" s="41" t="s">
        <v>345</v>
      </c>
      <c r="B183" s="238" t="s">
        <v>346</v>
      </c>
      <c r="C183" s="8"/>
      <c r="D183" s="5"/>
      <c r="E183" s="223"/>
      <c r="F183" s="5"/>
      <c r="G183" s="12"/>
      <c r="H183" s="12"/>
      <c r="I183" s="274"/>
      <c r="J183" s="274"/>
      <c r="K183" s="506"/>
      <c r="L183" s="358"/>
      <c r="M183" s="284"/>
      <c r="N183" s="285">
        <f t="shared" si="65"/>
        <v>0</v>
      </c>
      <c r="O183" s="288"/>
    </row>
    <row r="184" spans="1:15" ht="52" customHeight="1" x14ac:dyDescent="0.2">
      <c r="A184" s="13" t="s">
        <v>347</v>
      </c>
      <c r="B184" s="220" t="s">
        <v>348</v>
      </c>
      <c r="C184" s="14">
        <v>12</v>
      </c>
      <c r="D184" s="39" t="s">
        <v>349</v>
      </c>
      <c r="E184" s="246" t="s">
        <v>16</v>
      </c>
      <c r="F184" s="15" t="s">
        <v>37</v>
      </c>
      <c r="G184" s="16">
        <v>1</v>
      </c>
      <c r="H184" s="16">
        <f>I184/12</f>
        <v>171605.37583333332</v>
      </c>
      <c r="I184" s="268">
        <v>2059264.51</v>
      </c>
      <c r="J184" s="268">
        <f t="shared" ref="J184:J186" si="76">ROUND(I184/1000,2)</f>
        <v>2059.2600000000002</v>
      </c>
      <c r="K184" s="506">
        <f>N184</f>
        <v>410665.59600000002</v>
      </c>
      <c r="L184" s="401" t="s">
        <v>643</v>
      </c>
      <c r="M184" s="365">
        <v>342221.33</v>
      </c>
      <c r="N184" s="285">
        <f t="shared" si="65"/>
        <v>410665.59600000002</v>
      </c>
      <c r="O184" s="288" t="s">
        <v>641</v>
      </c>
    </row>
    <row r="185" spans="1:15" ht="52" customHeight="1" x14ac:dyDescent="0.2">
      <c r="A185" s="13" t="s">
        <v>350</v>
      </c>
      <c r="B185" s="242" t="s">
        <v>351</v>
      </c>
      <c r="C185" s="14">
        <v>1</v>
      </c>
      <c r="D185" s="39" t="s">
        <v>349</v>
      </c>
      <c r="E185" s="246" t="s">
        <v>16</v>
      </c>
      <c r="F185" s="15" t="s">
        <v>87</v>
      </c>
      <c r="G185" s="16">
        <v>12</v>
      </c>
      <c r="H185" s="16">
        <f>12300*1.2</f>
        <v>14760</v>
      </c>
      <c r="I185" s="268">
        <f t="shared" ref="I185:I186" si="77">ROUND(G185*H185*C185,2)</f>
        <v>177120</v>
      </c>
      <c r="J185" s="268">
        <f t="shared" si="76"/>
        <v>177.12</v>
      </c>
      <c r="K185" s="501">
        <f>I185</f>
        <v>177120</v>
      </c>
      <c r="L185" s="460" t="s">
        <v>620</v>
      </c>
      <c r="M185" s="461"/>
      <c r="N185" s="462"/>
      <c r="O185" s="431" t="s">
        <v>641</v>
      </c>
    </row>
    <row r="186" spans="1:15" ht="52" customHeight="1" x14ac:dyDescent="0.2">
      <c r="A186" s="17" t="s">
        <v>352</v>
      </c>
      <c r="B186" s="241" t="s">
        <v>353</v>
      </c>
      <c r="C186" s="18">
        <v>1</v>
      </c>
      <c r="D186" s="40" t="s">
        <v>81</v>
      </c>
      <c r="E186" s="247" t="s">
        <v>16</v>
      </c>
      <c r="F186" s="19" t="s">
        <v>87</v>
      </c>
      <c r="G186" s="20"/>
      <c r="H186" s="20"/>
      <c r="I186" s="269">
        <f t="shared" si="77"/>
        <v>0</v>
      </c>
      <c r="J186" s="269">
        <f t="shared" si="76"/>
        <v>0</v>
      </c>
      <c r="K186" s="506"/>
      <c r="L186" s="415"/>
      <c r="M186" s="284"/>
      <c r="N186" s="285">
        <f t="shared" si="65"/>
        <v>0</v>
      </c>
      <c r="O186" s="288"/>
    </row>
    <row r="187" spans="1:15" ht="52" customHeight="1" x14ac:dyDescent="0.2">
      <c r="A187" s="289"/>
      <c r="B187" s="290" t="s">
        <v>354</v>
      </c>
      <c r="C187" s="291"/>
      <c r="D187" s="292"/>
      <c r="E187" s="293"/>
      <c r="F187" s="292"/>
      <c r="G187" s="294"/>
      <c r="H187" s="294"/>
      <c r="I187" s="295">
        <f t="shared" ref="I187:K187" si="78">SUM(I184:I186)</f>
        <v>2236384.5099999998</v>
      </c>
      <c r="J187" s="295">
        <f t="shared" si="78"/>
        <v>2236.38</v>
      </c>
      <c r="K187" s="520">
        <f t="shared" si="78"/>
        <v>587785.59600000002</v>
      </c>
      <c r="L187" s="414"/>
      <c r="M187" s="385"/>
      <c r="N187" s="386">
        <f t="shared" si="65"/>
        <v>0</v>
      </c>
      <c r="O187" s="425"/>
    </row>
    <row r="188" spans="1:15" ht="52" customHeight="1" x14ac:dyDescent="0.2">
      <c r="A188" s="21" t="s">
        <v>355</v>
      </c>
      <c r="B188" s="233" t="s">
        <v>356</v>
      </c>
      <c r="C188" s="18"/>
      <c r="D188" s="19"/>
      <c r="E188" s="247"/>
      <c r="F188" s="19"/>
      <c r="G188" s="20"/>
      <c r="H188" s="20"/>
      <c r="I188" s="269"/>
      <c r="J188" s="269"/>
      <c r="K188" s="506"/>
      <c r="L188" s="415"/>
      <c r="M188" s="284"/>
      <c r="N188" s="285">
        <f t="shared" si="65"/>
        <v>0</v>
      </c>
      <c r="O188" s="288"/>
    </row>
    <row r="189" spans="1:15" ht="52" customHeight="1" x14ac:dyDescent="0.2">
      <c r="A189" s="13" t="s">
        <v>357</v>
      </c>
      <c r="B189" s="217" t="s">
        <v>358</v>
      </c>
      <c r="C189" s="14">
        <v>1</v>
      </c>
      <c r="D189" s="15" t="s">
        <v>15</v>
      </c>
      <c r="E189" s="246" t="s">
        <v>16</v>
      </c>
      <c r="F189" s="15" t="s">
        <v>359</v>
      </c>
      <c r="G189" s="16">
        <v>910</v>
      </c>
      <c r="H189" s="16">
        <f>78.05*1.2</f>
        <v>93.66</v>
      </c>
      <c r="I189" s="268">
        <f t="shared" ref="I189:I191" si="79">ROUND(G189*H189*C189,2)</f>
        <v>85230.6</v>
      </c>
      <c r="J189" s="268">
        <f t="shared" ref="J189:J191" si="80">ROUND(I189/1000,2)</f>
        <v>85.23</v>
      </c>
      <c r="K189" s="506">
        <v>0</v>
      </c>
      <c r="L189" s="450" t="s">
        <v>644</v>
      </c>
      <c r="M189" s="416" t="s">
        <v>360</v>
      </c>
      <c r="N189" s="285"/>
      <c r="O189" s="447" t="s">
        <v>645</v>
      </c>
    </row>
    <row r="190" spans="1:15" ht="52" customHeight="1" x14ac:dyDescent="0.2">
      <c r="A190" s="13" t="s">
        <v>361</v>
      </c>
      <c r="B190" s="283" t="s">
        <v>362</v>
      </c>
      <c r="C190" s="14">
        <v>1</v>
      </c>
      <c r="D190" s="39" t="s">
        <v>81</v>
      </c>
      <c r="E190" s="246" t="s">
        <v>16</v>
      </c>
      <c r="F190" s="15" t="s">
        <v>170</v>
      </c>
      <c r="G190" s="16">
        <v>210</v>
      </c>
      <c r="H190" s="16">
        <f>40.46*1.2</f>
        <v>48.552</v>
      </c>
      <c r="I190" s="268">
        <f t="shared" si="79"/>
        <v>10195.92</v>
      </c>
      <c r="J190" s="268">
        <f t="shared" si="80"/>
        <v>10.199999999999999</v>
      </c>
      <c r="K190" s="529">
        <f>I190</f>
        <v>10195.92</v>
      </c>
      <c r="L190" s="451"/>
      <c r="M190" s="367" t="s">
        <v>646</v>
      </c>
      <c r="N190" s="285"/>
      <c r="O190" s="448"/>
    </row>
    <row r="191" spans="1:15" ht="52" customHeight="1" x14ac:dyDescent="0.2">
      <c r="A191" s="13" t="s">
        <v>363</v>
      </c>
      <c r="B191" s="220" t="s">
        <v>364</v>
      </c>
      <c r="C191" s="14">
        <v>1</v>
      </c>
      <c r="D191" s="39" t="s">
        <v>81</v>
      </c>
      <c r="E191" s="246" t="s">
        <v>16</v>
      </c>
      <c r="F191" s="15" t="s">
        <v>365</v>
      </c>
      <c r="G191" s="16">
        <v>0</v>
      </c>
      <c r="H191" s="16">
        <f>281.66*1.2</f>
        <v>337.99200000000002</v>
      </c>
      <c r="I191" s="268">
        <f t="shared" si="79"/>
        <v>0</v>
      </c>
      <c r="J191" s="268">
        <f t="shared" si="80"/>
        <v>0</v>
      </c>
      <c r="K191" s="506"/>
      <c r="L191" s="434" t="s">
        <v>647</v>
      </c>
      <c r="M191" s="284">
        <v>61.28</v>
      </c>
      <c r="N191" s="285">
        <f t="shared" si="65"/>
        <v>73.536000000000001</v>
      </c>
      <c r="O191" s="257" t="s">
        <v>641</v>
      </c>
    </row>
    <row r="192" spans="1:15" ht="52" customHeight="1" x14ac:dyDescent="0.2">
      <c r="A192" s="289"/>
      <c r="B192" s="290" t="s">
        <v>366</v>
      </c>
      <c r="C192" s="291"/>
      <c r="D192" s="292"/>
      <c r="E192" s="293"/>
      <c r="F192" s="292"/>
      <c r="G192" s="294"/>
      <c r="H192" s="294"/>
      <c r="I192" s="295">
        <f t="shared" ref="I192:K192" si="81">SUM(I188:I191)</f>
        <v>95426.52</v>
      </c>
      <c r="J192" s="295">
        <f t="shared" si="81"/>
        <v>95.43</v>
      </c>
      <c r="K192" s="520">
        <f t="shared" si="81"/>
        <v>10195.92</v>
      </c>
      <c r="L192" s="414"/>
      <c r="M192" s="385"/>
      <c r="N192" s="386">
        <f t="shared" si="65"/>
        <v>0</v>
      </c>
      <c r="O192" s="425"/>
    </row>
    <row r="193" spans="1:15" ht="52" customHeight="1" x14ac:dyDescent="0.2">
      <c r="A193" s="41" t="s">
        <v>367</v>
      </c>
      <c r="B193" s="238" t="s">
        <v>368</v>
      </c>
      <c r="C193" s="8"/>
      <c r="D193" s="5"/>
      <c r="E193" s="223"/>
      <c r="F193" s="5"/>
      <c r="G193" s="12"/>
      <c r="H193" s="12"/>
      <c r="I193" s="274"/>
      <c r="J193" s="274"/>
      <c r="K193" s="506"/>
      <c r="L193" s="358"/>
      <c r="M193" s="284"/>
      <c r="N193" s="285">
        <f t="shared" si="65"/>
        <v>0</v>
      </c>
      <c r="O193" s="288"/>
    </row>
    <row r="194" spans="1:15" ht="52" customHeight="1" x14ac:dyDescent="0.2">
      <c r="A194" s="13" t="s">
        <v>369</v>
      </c>
      <c r="B194" s="283" t="s">
        <v>370</v>
      </c>
      <c r="C194" s="14">
        <v>1</v>
      </c>
      <c r="D194" s="39" t="s">
        <v>15</v>
      </c>
      <c r="E194" s="246" t="s">
        <v>16</v>
      </c>
      <c r="F194" s="15" t="s">
        <v>37</v>
      </c>
      <c r="G194" s="16">
        <f>868+42</f>
        <v>910</v>
      </c>
      <c r="H194" s="16">
        <f>203.26*1.2</f>
        <v>243.91199999999998</v>
      </c>
      <c r="I194" s="268">
        <f>ROUND(G194*H194*C194,2)</f>
        <v>221959.92</v>
      </c>
      <c r="J194" s="268">
        <f>ROUND(I194/1000,2)</f>
        <v>221.96</v>
      </c>
      <c r="K194" s="501">
        <f>I194</f>
        <v>221959.92</v>
      </c>
      <c r="L194" s="401" t="s">
        <v>588</v>
      </c>
      <c r="M194" s="367" t="s">
        <v>588</v>
      </c>
      <c r="N194" s="367" t="s">
        <v>588</v>
      </c>
      <c r="O194" s="257" t="s">
        <v>641</v>
      </c>
    </row>
    <row r="195" spans="1:15" ht="52" customHeight="1" x14ac:dyDescent="0.2">
      <c r="A195" s="341"/>
      <c r="B195" s="342" t="s">
        <v>371</v>
      </c>
      <c r="C195" s="343"/>
      <c r="D195" s="293"/>
      <c r="E195" s="293"/>
      <c r="F195" s="293"/>
      <c r="G195" s="344"/>
      <c r="H195" s="344"/>
      <c r="I195" s="345">
        <f t="shared" ref="I195:K195" si="82">SUM(I193:I194)</f>
        <v>221959.92</v>
      </c>
      <c r="J195" s="345">
        <f t="shared" si="82"/>
        <v>221.96</v>
      </c>
      <c r="K195" s="520">
        <f t="shared" si="82"/>
        <v>221959.92</v>
      </c>
      <c r="L195" s="417"/>
      <c r="M195" s="418"/>
      <c r="N195" s="419">
        <f t="shared" si="65"/>
        <v>0</v>
      </c>
      <c r="O195" s="425"/>
    </row>
    <row r="196" spans="1:15" ht="52" customHeight="1" x14ac:dyDescent="0.2">
      <c r="A196" s="41" t="s">
        <v>372</v>
      </c>
      <c r="B196" s="238" t="s">
        <v>373</v>
      </c>
      <c r="C196" s="8"/>
      <c r="D196" s="5"/>
      <c r="E196" s="223"/>
      <c r="F196" s="5"/>
      <c r="G196" s="12"/>
      <c r="H196" s="12"/>
      <c r="I196" s="274"/>
      <c r="J196" s="274"/>
      <c r="K196" s="506"/>
      <c r="L196" s="358"/>
      <c r="M196" s="284"/>
      <c r="N196" s="285">
        <f t="shared" si="65"/>
        <v>0</v>
      </c>
      <c r="O196" s="288"/>
    </row>
    <row r="197" spans="1:15" ht="52" customHeight="1" x14ac:dyDescent="0.2">
      <c r="A197" s="13" t="s">
        <v>374</v>
      </c>
      <c r="B197" s="220" t="s">
        <v>375</v>
      </c>
      <c r="C197" s="14">
        <v>1</v>
      </c>
      <c r="D197" s="39" t="s">
        <v>329</v>
      </c>
      <c r="E197" s="251"/>
      <c r="F197" s="15" t="s">
        <v>87</v>
      </c>
      <c r="G197" s="16">
        <v>0</v>
      </c>
      <c r="H197" s="16">
        <v>0</v>
      </c>
      <c r="I197" s="268">
        <f t="shared" ref="I197:I199" si="83">ROUND(G197*H197*C197,2)</f>
        <v>0</v>
      </c>
      <c r="J197" s="268">
        <f t="shared" ref="J197:J199" si="84">ROUND(I197/1000,2)</f>
        <v>0</v>
      </c>
      <c r="K197" s="506"/>
      <c r="L197" s="401" t="s">
        <v>588</v>
      </c>
      <c r="M197" s="367" t="s">
        <v>588</v>
      </c>
      <c r="N197" s="367" t="s">
        <v>588</v>
      </c>
      <c r="O197" s="447" t="s">
        <v>641</v>
      </c>
    </row>
    <row r="198" spans="1:15" ht="52" customHeight="1" x14ac:dyDescent="0.2">
      <c r="A198" s="13" t="s">
        <v>376</v>
      </c>
      <c r="B198" s="220" t="s">
        <v>377</v>
      </c>
      <c r="C198" s="14">
        <v>1</v>
      </c>
      <c r="D198" s="39" t="s">
        <v>329</v>
      </c>
      <c r="E198" s="251"/>
      <c r="F198" s="15" t="s">
        <v>87</v>
      </c>
      <c r="G198" s="16">
        <v>0</v>
      </c>
      <c r="H198" s="16">
        <v>0</v>
      </c>
      <c r="I198" s="268">
        <f t="shared" si="83"/>
        <v>0</v>
      </c>
      <c r="J198" s="268">
        <f t="shared" si="84"/>
        <v>0</v>
      </c>
      <c r="K198" s="506"/>
      <c r="L198" s="401" t="s">
        <v>588</v>
      </c>
      <c r="M198" s="367" t="s">
        <v>588</v>
      </c>
      <c r="N198" s="367" t="s">
        <v>588</v>
      </c>
      <c r="O198" s="448"/>
    </row>
    <row r="199" spans="1:15" ht="52" customHeight="1" x14ac:dyDescent="0.2">
      <c r="A199" s="13" t="s">
        <v>378</v>
      </c>
      <c r="B199" s="241" t="s">
        <v>379</v>
      </c>
      <c r="C199" s="14">
        <v>12</v>
      </c>
      <c r="D199" s="39" t="s">
        <v>380</v>
      </c>
      <c r="E199" s="251"/>
      <c r="F199" s="15" t="s">
        <v>87</v>
      </c>
      <c r="G199" s="16">
        <v>43100.1</v>
      </c>
      <c r="H199" s="16">
        <v>4.7699999999999996</v>
      </c>
      <c r="I199" s="268">
        <f t="shared" si="83"/>
        <v>2467049.7200000002</v>
      </c>
      <c r="J199" s="268">
        <f t="shared" si="84"/>
        <v>2467.0500000000002</v>
      </c>
      <c r="K199" s="507">
        <f>I199</f>
        <v>2467049.7200000002</v>
      </c>
      <c r="L199" s="401" t="s">
        <v>588</v>
      </c>
      <c r="M199" s="367" t="s">
        <v>588</v>
      </c>
      <c r="N199" s="367" t="s">
        <v>588</v>
      </c>
      <c r="O199" s="449"/>
    </row>
    <row r="200" spans="1:15" ht="52" customHeight="1" x14ac:dyDescent="0.2">
      <c r="A200" s="289"/>
      <c r="B200" s="290" t="s">
        <v>381</v>
      </c>
      <c r="C200" s="291"/>
      <c r="D200" s="292"/>
      <c r="E200" s="293"/>
      <c r="F200" s="292"/>
      <c r="G200" s="294"/>
      <c r="H200" s="294"/>
      <c r="I200" s="295">
        <f t="shared" ref="I200:K200" si="85">SUM(I196:I199)</f>
        <v>2467049.7200000002</v>
      </c>
      <c r="J200" s="295">
        <f t="shared" si="85"/>
        <v>2467.0500000000002</v>
      </c>
      <c r="K200" s="520">
        <f t="shared" si="85"/>
        <v>2467049.7200000002</v>
      </c>
      <c r="L200" s="414"/>
      <c r="M200" s="385"/>
      <c r="N200" s="386">
        <f t="shared" si="65"/>
        <v>0</v>
      </c>
      <c r="O200" s="425"/>
    </row>
    <row r="201" spans="1:15" ht="52" customHeight="1" x14ac:dyDescent="0.2">
      <c r="A201" s="41" t="s">
        <v>382</v>
      </c>
      <c r="B201" s="238" t="s">
        <v>383</v>
      </c>
      <c r="C201" s="8">
        <v>1</v>
      </c>
      <c r="D201" s="5"/>
      <c r="E201" s="223"/>
      <c r="F201" s="5" t="s">
        <v>87</v>
      </c>
      <c r="G201" s="12"/>
      <c r="H201" s="12">
        <v>0</v>
      </c>
      <c r="I201" s="274">
        <f>ROUND(G201*H201*C201,2)</f>
        <v>0</v>
      </c>
      <c r="J201" s="274">
        <f>ROUND(I201/1000,2)</f>
        <v>0</v>
      </c>
      <c r="K201" s="506"/>
      <c r="L201" s="358"/>
      <c r="M201" s="284"/>
      <c r="N201" s="285">
        <f t="shared" ref="N201:N222" si="86">M201*1.2</f>
        <v>0</v>
      </c>
      <c r="O201" s="288"/>
    </row>
    <row r="202" spans="1:15" ht="52" customHeight="1" x14ac:dyDescent="0.2">
      <c r="A202" s="289"/>
      <c r="B202" s="290" t="s">
        <v>384</v>
      </c>
      <c r="C202" s="291"/>
      <c r="D202" s="292"/>
      <c r="E202" s="293"/>
      <c r="F202" s="292"/>
      <c r="G202" s="294"/>
      <c r="H202" s="294"/>
      <c r="I202" s="346"/>
      <c r="J202" s="295">
        <f>J201</f>
        <v>0</v>
      </c>
      <c r="K202" s="506"/>
      <c r="L202" s="414"/>
      <c r="M202" s="385"/>
      <c r="N202" s="386">
        <f t="shared" si="86"/>
        <v>0</v>
      </c>
      <c r="O202" s="425"/>
    </row>
    <row r="203" spans="1:15" ht="52" customHeight="1" x14ac:dyDescent="0.2">
      <c r="A203" s="41" t="s">
        <v>385</v>
      </c>
      <c r="B203" s="238" t="s">
        <v>386</v>
      </c>
      <c r="C203" s="8">
        <v>1</v>
      </c>
      <c r="D203" s="5"/>
      <c r="E203" s="223"/>
      <c r="F203" s="5" t="s">
        <v>87</v>
      </c>
      <c r="G203" s="12"/>
      <c r="H203" s="12">
        <v>0</v>
      </c>
      <c r="I203" s="274">
        <f>ROUND(G203*H203*C203,2)</f>
        <v>0</v>
      </c>
      <c r="J203" s="274">
        <f>ROUND(I203/1000,2)</f>
        <v>0</v>
      </c>
      <c r="K203" s="506"/>
      <c r="L203" s="358"/>
      <c r="M203" s="284"/>
      <c r="N203" s="285">
        <f t="shared" si="86"/>
        <v>0</v>
      </c>
      <c r="O203" s="288"/>
    </row>
    <row r="204" spans="1:15" ht="52" customHeight="1" x14ac:dyDescent="0.2">
      <c r="A204" s="289"/>
      <c r="B204" s="290" t="s">
        <v>387</v>
      </c>
      <c r="C204" s="291"/>
      <c r="D204" s="292"/>
      <c r="E204" s="293"/>
      <c r="F204" s="292"/>
      <c r="G204" s="294"/>
      <c r="H204" s="294"/>
      <c r="I204" s="346"/>
      <c r="J204" s="295">
        <f>J203</f>
        <v>0</v>
      </c>
      <c r="K204" s="506"/>
      <c r="L204" s="414"/>
      <c r="M204" s="385"/>
      <c r="N204" s="386">
        <f t="shared" si="86"/>
        <v>0</v>
      </c>
      <c r="O204" s="425"/>
    </row>
    <row r="205" spans="1:15" ht="52" customHeight="1" x14ac:dyDescent="0.2">
      <c r="A205" s="41" t="s">
        <v>388</v>
      </c>
      <c r="B205" s="238" t="s">
        <v>389</v>
      </c>
      <c r="C205" s="8"/>
      <c r="D205" s="5"/>
      <c r="E205" s="223"/>
      <c r="F205" s="5"/>
      <c r="G205" s="12"/>
      <c r="H205" s="12"/>
      <c r="I205" s="274"/>
      <c r="J205" s="274"/>
      <c r="K205" s="506"/>
      <c r="L205" s="358"/>
      <c r="M205" s="284"/>
      <c r="N205" s="285">
        <f t="shared" si="86"/>
        <v>0</v>
      </c>
      <c r="O205" s="288"/>
    </row>
    <row r="206" spans="1:15" ht="52" customHeight="1" x14ac:dyDescent="0.2">
      <c r="A206" s="13" t="s">
        <v>390</v>
      </c>
      <c r="B206" s="220" t="s">
        <v>391</v>
      </c>
      <c r="C206" s="14">
        <v>1</v>
      </c>
      <c r="D206" s="39" t="s">
        <v>15</v>
      </c>
      <c r="E206" s="251"/>
      <c r="F206" s="53" t="s">
        <v>392</v>
      </c>
      <c r="G206" s="16">
        <v>1238</v>
      </c>
      <c r="H206" s="16">
        <v>8.1</v>
      </c>
      <c r="I206" s="268">
        <f t="shared" ref="I206:I208" si="87">ROUND(G206*H206*C206,2)</f>
        <v>10027.799999999999</v>
      </c>
      <c r="J206" s="268">
        <f t="shared" ref="J206:J208" si="88">ROUND(I206/1000,2)</f>
        <v>10.029999999999999</v>
      </c>
      <c r="K206" s="501">
        <f>I206</f>
        <v>10027.799999999999</v>
      </c>
      <c r="L206" s="401" t="s">
        <v>649</v>
      </c>
      <c r="M206" s="284"/>
      <c r="N206" s="285">
        <f t="shared" si="86"/>
        <v>0</v>
      </c>
      <c r="O206" s="288" t="s">
        <v>648</v>
      </c>
    </row>
    <row r="207" spans="1:15" ht="52" customHeight="1" x14ac:dyDescent="0.2">
      <c r="A207" s="13" t="s">
        <v>393</v>
      </c>
      <c r="B207" s="220" t="s">
        <v>394</v>
      </c>
      <c r="C207" s="14">
        <v>12</v>
      </c>
      <c r="D207" s="39" t="s">
        <v>15</v>
      </c>
      <c r="E207" s="251"/>
      <c r="F207" s="15" t="s">
        <v>395</v>
      </c>
      <c r="G207" s="16">
        <v>43100.1</v>
      </c>
      <c r="H207" s="16">
        <f>1.4*1.2/12</f>
        <v>0.13999999999999999</v>
      </c>
      <c r="I207" s="268">
        <f t="shared" si="87"/>
        <v>72408.17</v>
      </c>
      <c r="J207" s="268">
        <f t="shared" si="88"/>
        <v>72.41</v>
      </c>
      <c r="K207" s="501">
        <f>I207</f>
        <v>72408.17</v>
      </c>
      <c r="L207" s="400"/>
      <c r="M207" s="365"/>
      <c r="N207" s="285">
        <f t="shared" si="86"/>
        <v>0</v>
      </c>
      <c r="O207" s="288" t="s">
        <v>603</v>
      </c>
    </row>
    <row r="208" spans="1:15" ht="52" customHeight="1" x14ac:dyDescent="0.2">
      <c r="A208" s="13" t="s">
        <v>396</v>
      </c>
      <c r="B208" s="220" t="s">
        <v>397</v>
      </c>
      <c r="C208" s="14">
        <v>1</v>
      </c>
      <c r="D208" s="39" t="s">
        <v>15</v>
      </c>
      <c r="E208" s="251"/>
      <c r="F208" s="53" t="s">
        <v>392</v>
      </c>
      <c r="G208" s="16">
        <v>1238</v>
      </c>
      <c r="H208" s="16">
        <v>18.2</v>
      </c>
      <c r="I208" s="268">
        <f t="shared" si="87"/>
        <v>22531.599999999999</v>
      </c>
      <c r="J208" s="268">
        <f t="shared" si="88"/>
        <v>22.53</v>
      </c>
      <c r="K208" s="506">
        <f>N208</f>
        <v>11803.271999999999</v>
      </c>
      <c r="L208" s="401" t="s">
        <v>650</v>
      </c>
      <c r="M208" s="284">
        <v>9836.06</v>
      </c>
      <c r="N208" s="285">
        <f t="shared" si="86"/>
        <v>11803.271999999999</v>
      </c>
      <c r="O208" s="431" t="s">
        <v>648</v>
      </c>
    </row>
    <row r="209" spans="1:15" ht="52" customHeight="1" x14ac:dyDescent="0.2">
      <c r="A209" s="289"/>
      <c r="B209" s="290" t="s">
        <v>398</v>
      </c>
      <c r="C209" s="291"/>
      <c r="D209" s="292"/>
      <c r="E209" s="293"/>
      <c r="F209" s="292"/>
      <c r="G209" s="294"/>
      <c r="H209" s="294"/>
      <c r="I209" s="295">
        <f t="shared" ref="I209:K209" si="89">SUM(I205:I208)</f>
        <v>104967.57</v>
      </c>
      <c r="J209" s="295">
        <f t="shared" si="89"/>
        <v>104.97</v>
      </c>
      <c r="K209" s="520">
        <f t="shared" si="89"/>
        <v>94239.241999999998</v>
      </c>
      <c r="L209" s="414"/>
      <c r="M209" s="385"/>
      <c r="N209" s="386">
        <f t="shared" si="86"/>
        <v>0</v>
      </c>
      <c r="O209" s="425"/>
    </row>
    <row r="210" spans="1:15" ht="52" customHeight="1" x14ac:dyDescent="0.2">
      <c r="A210" s="41" t="s">
        <v>399</v>
      </c>
      <c r="B210" s="238" t="s">
        <v>400</v>
      </c>
      <c r="C210" s="8"/>
      <c r="D210" s="5"/>
      <c r="E210" s="223"/>
      <c r="F210" s="5"/>
      <c r="G210" s="12"/>
      <c r="H210" s="12"/>
      <c r="I210" s="274"/>
      <c r="J210" s="274"/>
      <c r="K210" s="506"/>
      <c r="L210" s="358"/>
      <c r="M210" s="284"/>
      <c r="N210" s="285">
        <f t="shared" si="86"/>
        <v>0</v>
      </c>
      <c r="O210" s="288"/>
    </row>
    <row r="211" spans="1:15" ht="52" customHeight="1" x14ac:dyDescent="0.2">
      <c r="A211" s="13"/>
      <c r="B211" s="220" t="s">
        <v>401</v>
      </c>
      <c r="C211" s="14">
        <v>12</v>
      </c>
      <c r="D211" s="39" t="s">
        <v>15</v>
      </c>
      <c r="E211" s="251"/>
      <c r="F211" s="15" t="s">
        <v>37</v>
      </c>
      <c r="G211" s="16">
        <v>1</v>
      </c>
      <c r="H211" s="16">
        <v>293.88</v>
      </c>
      <c r="I211" s="268">
        <f t="shared" ref="I211:I217" si="90">ROUND(G211*H211*C211,2)</f>
        <v>3526.56</v>
      </c>
      <c r="J211" s="268">
        <f t="shared" ref="J211:J217" si="91">ROUND(I211/1000,2)</f>
        <v>3.53</v>
      </c>
      <c r="K211" s="501">
        <f>I211</f>
        <v>3526.56</v>
      </c>
      <c r="L211" s="400"/>
      <c r="M211" s="284"/>
      <c r="N211" s="285">
        <f t="shared" si="86"/>
        <v>0</v>
      </c>
      <c r="O211" s="288" t="s">
        <v>672</v>
      </c>
    </row>
    <row r="212" spans="1:15" ht="52" customHeight="1" x14ac:dyDescent="0.2">
      <c r="A212" s="13" t="s">
        <v>402</v>
      </c>
      <c r="B212" s="242" t="s">
        <v>403</v>
      </c>
      <c r="C212" s="14">
        <v>0</v>
      </c>
      <c r="D212" s="39" t="s">
        <v>22</v>
      </c>
      <c r="E212" s="251"/>
      <c r="F212" s="15"/>
      <c r="G212" s="16"/>
      <c r="H212" s="16"/>
      <c r="I212" s="268">
        <f t="shared" si="90"/>
        <v>0</v>
      </c>
      <c r="J212" s="268">
        <f t="shared" si="91"/>
        <v>0</v>
      </c>
      <c r="K212" s="506"/>
      <c r="L212" s="400"/>
      <c r="M212" s="284"/>
      <c r="N212" s="285">
        <f t="shared" si="86"/>
        <v>0</v>
      </c>
      <c r="O212" s="288">
        <v>0</v>
      </c>
    </row>
    <row r="213" spans="1:15" ht="52" customHeight="1" x14ac:dyDescent="0.2">
      <c r="A213" s="13"/>
      <c r="B213" s="217" t="s">
        <v>404</v>
      </c>
      <c r="C213" s="14">
        <v>12</v>
      </c>
      <c r="D213" s="255" t="s">
        <v>15</v>
      </c>
      <c r="E213" s="251" t="s">
        <v>392</v>
      </c>
      <c r="F213" s="15" t="s">
        <v>37</v>
      </c>
      <c r="G213" s="16">
        <v>1</v>
      </c>
      <c r="H213" s="254">
        <v>81190.92</v>
      </c>
      <c r="I213" s="268">
        <f t="shared" si="90"/>
        <v>974291.04</v>
      </c>
      <c r="J213" s="268">
        <f t="shared" si="91"/>
        <v>974.29</v>
      </c>
      <c r="K213" s="501">
        <f t="shared" ref="K212:K217" si="92">I213</f>
        <v>974291.04</v>
      </c>
      <c r="L213" s="400"/>
      <c r="M213" s="284"/>
      <c r="N213" s="285">
        <f t="shared" si="86"/>
        <v>0</v>
      </c>
      <c r="O213" s="463" t="s">
        <v>592</v>
      </c>
    </row>
    <row r="214" spans="1:15" ht="52" customHeight="1" x14ac:dyDescent="0.2">
      <c r="A214" s="13"/>
      <c r="B214" s="217" t="s">
        <v>405</v>
      </c>
      <c r="C214" s="14">
        <v>12</v>
      </c>
      <c r="D214" s="255" t="s">
        <v>15</v>
      </c>
      <c r="E214" s="251" t="s">
        <v>392</v>
      </c>
      <c r="F214" s="15" t="s">
        <v>37</v>
      </c>
      <c r="G214" s="16">
        <v>1</v>
      </c>
      <c r="H214" s="254">
        <v>38250</v>
      </c>
      <c r="I214" s="268">
        <f t="shared" si="90"/>
        <v>459000</v>
      </c>
      <c r="J214" s="268">
        <f t="shared" si="91"/>
        <v>459</v>
      </c>
      <c r="K214" s="501">
        <f t="shared" si="92"/>
        <v>459000</v>
      </c>
      <c r="L214" s="400"/>
      <c r="M214" s="284"/>
      <c r="N214" s="285">
        <f t="shared" si="86"/>
        <v>0</v>
      </c>
      <c r="O214" s="463"/>
    </row>
    <row r="215" spans="1:15" ht="52" customHeight="1" x14ac:dyDescent="0.2">
      <c r="A215" s="13"/>
      <c r="B215" s="217" t="s">
        <v>406</v>
      </c>
      <c r="C215" s="14">
        <v>12</v>
      </c>
      <c r="D215" s="255" t="s">
        <v>15</v>
      </c>
      <c r="E215" s="251" t="s">
        <v>392</v>
      </c>
      <c r="F215" s="15" t="s">
        <v>37</v>
      </c>
      <c r="G215" s="16">
        <v>1</v>
      </c>
      <c r="H215" s="254">
        <v>11500</v>
      </c>
      <c r="I215" s="268">
        <f t="shared" si="90"/>
        <v>138000</v>
      </c>
      <c r="J215" s="268">
        <f t="shared" si="91"/>
        <v>138</v>
      </c>
      <c r="K215" s="501">
        <f t="shared" si="92"/>
        <v>138000</v>
      </c>
      <c r="L215" s="400"/>
      <c r="M215" s="284"/>
      <c r="N215" s="285">
        <f t="shared" si="86"/>
        <v>0</v>
      </c>
      <c r="O215" s="463"/>
    </row>
    <row r="216" spans="1:15" ht="52" customHeight="1" x14ac:dyDescent="0.2">
      <c r="A216" s="13"/>
      <c r="B216" s="217" t="s">
        <v>407</v>
      </c>
      <c r="C216" s="14">
        <v>12</v>
      </c>
      <c r="D216" s="255" t="s">
        <v>15</v>
      </c>
      <c r="E216" s="251" t="s">
        <v>392</v>
      </c>
      <c r="F216" s="15" t="s">
        <v>37</v>
      </c>
      <c r="G216" s="16">
        <v>1</v>
      </c>
      <c r="H216" s="254">
        <v>22332.82</v>
      </c>
      <c r="I216" s="268">
        <f t="shared" si="90"/>
        <v>267993.84000000003</v>
      </c>
      <c r="J216" s="268">
        <f t="shared" si="91"/>
        <v>267.99</v>
      </c>
      <c r="K216" s="501">
        <f t="shared" si="92"/>
        <v>267993.84000000003</v>
      </c>
      <c r="L216" s="400"/>
      <c r="M216" s="284"/>
      <c r="N216" s="285">
        <f t="shared" si="86"/>
        <v>0</v>
      </c>
      <c r="O216" s="463"/>
    </row>
    <row r="217" spans="1:15" ht="52" customHeight="1" x14ac:dyDescent="0.2">
      <c r="A217" s="13" t="s">
        <v>408</v>
      </c>
      <c r="B217" s="242" t="s">
        <v>409</v>
      </c>
      <c r="C217" s="14">
        <v>1</v>
      </c>
      <c r="D217" s="39" t="s">
        <v>81</v>
      </c>
      <c r="E217" s="251"/>
      <c r="F217" s="15" t="s">
        <v>87</v>
      </c>
      <c r="G217" s="16"/>
      <c r="H217" s="16"/>
      <c r="I217" s="268">
        <f t="shared" si="90"/>
        <v>0</v>
      </c>
      <c r="J217" s="268">
        <f t="shared" si="91"/>
        <v>0</v>
      </c>
      <c r="K217" s="506"/>
      <c r="L217" s="400"/>
      <c r="M217" s="284"/>
      <c r="N217" s="285">
        <f t="shared" si="86"/>
        <v>0</v>
      </c>
      <c r="O217" s="288">
        <v>0</v>
      </c>
    </row>
    <row r="218" spans="1:15" ht="52" customHeight="1" x14ac:dyDescent="0.2">
      <c r="A218" s="289"/>
      <c r="B218" s="290" t="s">
        <v>410</v>
      </c>
      <c r="C218" s="291"/>
      <c r="D218" s="292"/>
      <c r="E218" s="293"/>
      <c r="F218" s="292"/>
      <c r="G218" s="294"/>
      <c r="H218" s="294"/>
      <c r="I218" s="295">
        <f t="shared" ref="I218:K218" si="93">I217+I216+I215+I214+I213+I212+I211</f>
        <v>1842811.4400000002</v>
      </c>
      <c r="J218" s="295">
        <f t="shared" si="93"/>
        <v>1842.81</v>
      </c>
      <c r="K218" s="520">
        <f t="shared" si="93"/>
        <v>1842811.4400000002</v>
      </c>
      <c r="L218" s="414"/>
      <c r="M218" s="385"/>
      <c r="N218" s="386">
        <f t="shared" si="86"/>
        <v>0</v>
      </c>
      <c r="O218" s="425"/>
    </row>
    <row r="219" spans="1:15" ht="52" customHeight="1" x14ac:dyDescent="0.2">
      <c r="A219" s="42" t="s">
        <v>411</v>
      </c>
      <c r="B219" s="239" t="s">
        <v>412</v>
      </c>
      <c r="C219" s="9">
        <v>12</v>
      </c>
      <c r="D219" s="43" t="s">
        <v>15</v>
      </c>
      <c r="E219" s="245" t="s">
        <v>413</v>
      </c>
      <c r="F219" s="10"/>
      <c r="G219" s="9">
        <v>9699</v>
      </c>
      <c r="H219" s="11">
        <v>3.6</v>
      </c>
      <c r="I219" s="266">
        <f>H219*43099.1*12</f>
        <v>1861881.12</v>
      </c>
      <c r="J219" s="266">
        <f>ROUND(I219/1000,2)</f>
        <v>1861.88</v>
      </c>
      <c r="K219" s="507">
        <f>I219</f>
        <v>1861881.12</v>
      </c>
      <c r="L219" s="420"/>
      <c r="M219" s="284"/>
      <c r="N219" s="285">
        <f t="shared" si="86"/>
        <v>0</v>
      </c>
      <c r="O219" s="288" t="s">
        <v>591</v>
      </c>
    </row>
    <row r="220" spans="1:15" ht="52" customHeight="1" x14ac:dyDescent="0.2">
      <c r="A220" s="42"/>
      <c r="B220" s="239"/>
      <c r="C220" s="9"/>
      <c r="D220" s="43"/>
      <c r="E220" s="245"/>
      <c r="F220" s="10"/>
      <c r="G220" s="9"/>
      <c r="H220" s="11"/>
      <c r="I220" s="266"/>
      <c r="J220" s="266"/>
      <c r="K220" s="506"/>
      <c r="L220" s="420"/>
      <c r="M220" s="284"/>
      <c r="N220" s="285">
        <f t="shared" si="86"/>
        <v>0</v>
      </c>
      <c r="O220" s="288"/>
    </row>
    <row r="221" spans="1:15" ht="52" customHeight="1" x14ac:dyDescent="0.2">
      <c r="A221" s="289"/>
      <c r="B221" s="290" t="s">
        <v>414</v>
      </c>
      <c r="C221" s="291"/>
      <c r="D221" s="292"/>
      <c r="E221" s="293"/>
      <c r="F221" s="292"/>
      <c r="G221" s="294"/>
      <c r="H221" s="294"/>
      <c r="I221" s="295">
        <f t="shared" ref="I221:K221" si="94">I219</f>
        <v>1861881.12</v>
      </c>
      <c r="J221" s="295">
        <f t="shared" si="94"/>
        <v>1861.88</v>
      </c>
      <c r="K221" s="520">
        <f t="shared" si="94"/>
        <v>1861881.12</v>
      </c>
      <c r="L221" s="414"/>
      <c r="M221" s="385"/>
      <c r="N221" s="386">
        <f t="shared" si="86"/>
        <v>0</v>
      </c>
      <c r="O221" s="425"/>
    </row>
    <row r="222" spans="1:15" ht="52" customHeight="1" x14ac:dyDescent="0.2">
      <c r="A222" s="45"/>
      <c r="B222" s="238" t="s">
        <v>415</v>
      </c>
      <c r="C222" s="8"/>
      <c r="D222" s="5"/>
      <c r="E222" s="223"/>
      <c r="F222" s="5"/>
      <c r="G222" s="12"/>
      <c r="H222" s="12"/>
      <c r="I222" s="267">
        <f t="shared" ref="I222:K222" si="95">I6+I63+I67+I69+I133+I164+I177+I182+I187+I192+I195+I200+I202+I204+I209+I218+I221</f>
        <v>34076508.775599994</v>
      </c>
      <c r="J222" s="267">
        <f t="shared" si="95"/>
        <v>33663.94</v>
      </c>
      <c r="K222" s="297">
        <f t="shared" si="95"/>
        <v>28291093.363600004</v>
      </c>
      <c r="L222" s="358"/>
      <c r="M222" s="284"/>
      <c r="N222" s="285">
        <f t="shared" si="86"/>
        <v>0</v>
      </c>
      <c r="O222" s="288"/>
    </row>
    <row r="223" spans="1:15" x14ac:dyDescent="0.2">
      <c r="A223" s="4"/>
      <c r="B223" s="241"/>
      <c r="C223" s="4"/>
      <c r="D223" s="54"/>
      <c r="E223" s="253"/>
      <c r="F223" s="54"/>
      <c r="G223" s="4"/>
      <c r="H223" s="4"/>
      <c r="I223" s="54"/>
      <c r="J223" s="54"/>
      <c r="K223" s="523"/>
      <c r="L223" s="353"/>
      <c r="M223" s="354"/>
      <c r="N223" s="355"/>
    </row>
    <row r="224" spans="1:15" x14ac:dyDescent="0.2">
      <c r="A224" s="4"/>
      <c r="B224" s="241"/>
      <c r="C224" s="4"/>
      <c r="D224" s="54"/>
      <c r="E224" s="253"/>
      <c r="F224" s="54"/>
      <c r="G224" s="4"/>
      <c r="H224" s="4"/>
      <c r="I224" s="54"/>
      <c r="J224" s="54"/>
      <c r="K224" s="523"/>
      <c r="L224" s="353"/>
      <c r="M224" s="354"/>
      <c r="N224" s="355"/>
    </row>
    <row r="225" spans="1:14" ht="30" x14ac:dyDescent="0.2">
      <c r="A225" s="4"/>
      <c r="B225" s="241"/>
      <c r="C225" s="4"/>
      <c r="D225" s="54"/>
      <c r="E225" s="253"/>
      <c r="F225" s="54"/>
      <c r="G225" s="4"/>
      <c r="H225" s="4"/>
      <c r="I225" s="54"/>
      <c r="J225" s="54" t="s">
        <v>416</v>
      </c>
      <c r="K225" s="523"/>
      <c r="L225" s="353"/>
      <c r="M225" s="354"/>
      <c r="N225" s="355"/>
    </row>
    <row r="226" spans="1:14" x14ac:dyDescent="0.2">
      <c r="A226" s="4"/>
      <c r="B226" s="442"/>
      <c r="C226" s="4"/>
      <c r="D226" s="54"/>
      <c r="E226" s="253"/>
      <c r="F226" s="54"/>
      <c r="G226" s="4"/>
      <c r="H226" s="4"/>
      <c r="I226" s="54"/>
      <c r="J226" s="54"/>
      <c r="K226" s="523"/>
      <c r="L226" s="353"/>
      <c r="M226" s="354"/>
      <c r="N226" s="355"/>
    </row>
    <row r="227" spans="1:14" x14ac:dyDescent="0.2">
      <c r="A227" s="4"/>
      <c r="B227" s="443"/>
      <c r="C227" s="4"/>
      <c r="D227" s="54"/>
      <c r="E227" s="253"/>
      <c r="F227" s="54"/>
      <c r="G227" s="4"/>
      <c r="H227" s="4"/>
      <c r="I227" s="444">
        <f>I222/43099.1/12</f>
        <v>65.887897070549798</v>
      </c>
      <c r="J227" s="444">
        <f>J222/12/43099*1000</f>
        <v>65.09033465586981</v>
      </c>
      <c r="K227" s="523"/>
      <c r="L227" s="353"/>
      <c r="M227" s="354"/>
      <c r="N227" s="355"/>
    </row>
    <row r="228" spans="1:14" x14ac:dyDescent="0.2">
      <c r="A228" s="4"/>
      <c r="B228" s="443"/>
      <c r="C228" s="4"/>
      <c r="D228" s="54"/>
      <c r="E228" s="253"/>
      <c r="F228" s="54"/>
      <c r="G228" s="4"/>
      <c r="H228" s="4"/>
      <c r="I228" s="275"/>
      <c r="J228" s="54"/>
      <c r="K228" s="523"/>
      <c r="L228" s="353"/>
      <c r="M228" s="354"/>
      <c r="N228" s="355"/>
    </row>
    <row r="229" spans="1:14" x14ac:dyDescent="0.2">
      <c r="A229" s="4"/>
      <c r="B229" s="443"/>
      <c r="C229" s="4"/>
      <c r="D229" s="54"/>
      <c r="E229" s="253"/>
      <c r="F229" s="54"/>
      <c r="G229" s="4"/>
      <c r="H229" s="55"/>
      <c r="I229" s="54"/>
      <c r="J229" s="54"/>
      <c r="K229" s="523"/>
      <c r="L229" s="353"/>
      <c r="M229" s="354"/>
      <c r="N229" s="355"/>
    </row>
    <row r="230" spans="1:14" x14ac:dyDescent="0.2">
      <c r="A230" s="4"/>
      <c r="B230" s="442"/>
      <c r="C230" s="4"/>
      <c r="D230" s="54"/>
      <c r="E230" s="253"/>
      <c r="F230" s="54"/>
      <c r="G230" s="4"/>
      <c r="H230" s="55"/>
      <c r="I230" s="275"/>
      <c r="J230" s="54"/>
      <c r="K230" s="523"/>
      <c r="L230" s="353"/>
      <c r="M230" s="354"/>
      <c r="N230" s="355"/>
    </row>
    <row r="231" spans="1:14" x14ac:dyDescent="0.2">
      <c r="A231" s="4"/>
      <c r="B231" s="241"/>
      <c r="C231" s="4"/>
      <c r="D231" s="54"/>
      <c r="E231" s="253"/>
      <c r="F231" s="54"/>
      <c r="G231" s="4"/>
      <c r="H231" s="4"/>
      <c r="I231" s="275"/>
      <c r="J231" s="54"/>
      <c r="K231" s="523"/>
      <c r="L231" s="353"/>
      <c r="M231" s="354"/>
      <c r="N231" s="355"/>
    </row>
  </sheetData>
  <mergeCells count="44">
    <mergeCell ref="L159:N159"/>
    <mergeCell ref="L185:N185"/>
    <mergeCell ref="L150:N150"/>
    <mergeCell ref="L151:N151"/>
    <mergeCell ref="L152:N152"/>
    <mergeCell ref="L153:N153"/>
    <mergeCell ref="L154:N154"/>
    <mergeCell ref="N179:N181"/>
    <mergeCell ref="Q65:Q68"/>
    <mergeCell ref="O81:O86"/>
    <mergeCell ref="O93:O94"/>
    <mergeCell ref="O51:O54"/>
    <mergeCell ref="O57:O61"/>
    <mergeCell ref="O213:O216"/>
    <mergeCell ref="L23:L24"/>
    <mergeCell ref="O23:O41"/>
    <mergeCell ref="O47:O48"/>
    <mergeCell ref="O166:O168"/>
    <mergeCell ref="O170:O171"/>
    <mergeCell ref="O174:O175"/>
    <mergeCell ref="L179:L181"/>
    <mergeCell ref="M179:M181"/>
    <mergeCell ref="O109:O110"/>
    <mergeCell ref="O121:O123"/>
    <mergeCell ref="L137:N137"/>
    <mergeCell ref="L141:N141"/>
    <mergeCell ref="L145:N146"/>
    <mergeCell ref="O145:O146"/>
    <mergeCell ref="O197:O199"/>
    <mergeCell ref="O179:O181"/>
    <mergeCell ref="L189:L190"/>
    <mergeCell ref="O189:O190"/>
    <mergeCell ref="A1:J1"/>
    <mergeCell ref="C3:D3"/>
    <mergeCell ref="L14:L16"/>
    <mergeCell ref="L31:L32"/>
    <mergeCell ref="L25:L26"/>
    <mergeCell ref="O14:O17"/>
    <mergeCell ref="L27:L28"/>
    <mergeCell ref="L29:L30"/>
    <mergeCell ref="L18:L21"/>
    <mergeCell ref="O8:O9"/>
    <mergeCell ref="O18:O20"/>
    <mergeCell ref="L158:N158"/>
  </mergeCells>
  <hyperlinks>
    <hyperlink ref="P63" r:id="rId1" xr:uid="{00000000-0004-0000-0000-000000000000}"/>
  </hyperlinks>
  <pageMargins left="0.7" right="0.7" top="0.75" bottom="0.75" header="0" footer="0"/>
  <pageSetup paperSize="8" scale="61" fitToHeight="0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8000"/>
  </sheetPr>
  <dimension ref="A1:L100"/>
  <sheetViews>
    <sheetView topLeftCell="A4" workbookViewId="0">
      <selection activeCell="K26" sqref="K26"/>
    </sheetView>
  </sheetViews>
  <sheetFormatPr baseColWidth="10" defaultColWidth="14.5" defaultRowHeight="15" customHeight="1" x14ac:dyDescent="0.2"/>
  <cols>
    <col min="1" max="1" width="6.83203125" customWidth="1"/>
    <col min="2" max="2" width="9.1640625" customWidth="1"/>
    <col min="3" max="3" width="32.33203125" customWidth="1"/>
    <col min="4" max="4" width="14" customWidth="1"/>
    <col min="5" max="5" width="13" customWidth="1"/>
    <col min="6" max="7" width="6.5" customWidth="1"/>
    <col min="8" max="8" width="8.5" customWidth="1"/>
    <col min="9" max="9" width="29.5" customWidth="1"/>
    <col min="10" max="10" width="14" customWidth="1"/>
    <col min="11" max="11" width="13.83203125" customWidth="1"/>
  </cols>
  <sheetData>
    <row r="1" spans="1:12" ht="14.25" customHeight="1" x14ac:dyDescent="0.2">
      <c r="A1" s="56"/>
      <c r="B1" s="57"/>
      <c r="C1" s="56"/>
      <c r="D1" s="56"/>
      <c r="E1" s="56"/>
      <c r="F1" s="58"/>
      <c r="H1" s="57"/>
      <c r="I1" s="56"/>
      <c r="J1" s="56"/>
      <c r="K1" s="56"/>
    </row>
    <row r="2" spans="1:12" ht="14.25" customHeight="1" x14ac:dyDescent="0.2">
      <c r="A2" s="56"/>
      <c r="B2" s="57"/>
      <c r="C2" s="56"/>
      <c r="D2" s="56"/>
      <c r="E2" s="56"/>
      <c r="F2" s="58"/>
      <c r="H2" s="57"/>
      <c r="I2" s="56"/>
      <c r="J2" s="56"/>
      <c r="K2" s="56"/>
    </row>
    <row r="3" spans="1:12" ht="15" customHeight="1" x14ac:dyDescent="0.2">
      <c r="A3" s="56"/>
      <c r="B3" s="483" t="s">
        <v>417</v>
      </c>
      <c r="C3" s="453"/>
      <c r="D3" s="453"/>
      <c r="E3" s="453"/>
      <c r="F3" s="58"/>
      <c r="H3" s="483" t="s">
        <v>417</v>
      </c>
      <c r="I3" s="453"/>
      <c r="J3" s="453"/>
      <c r="K3" s="453"/>
    </row>
    <row r="4" spans="1:12" ht="15" customHeight="1" x14ac:dyDescent="0.2">
      <c r="A4" s="56"/>
      <c r="B4" s="484" t="s">
        <v>418</v>
      </c>
      <c r="C4" s="453"/>
      <c r="D4" s="453"/>
      <c r="E4" s="453"/>
      <c r="F4" s="58"/>
      <c r="H4" s="484" t="s">
        <v>418</v>
      </c>
      <c r="I4" s="453"/>
      <c r="J4" s="453"/>
      <c r="K4" s="453"/>
    </row>
    <row r="5" spans="1:12" ht="15" customHeight="1" x14ac:dyDescent="0.2">
      <c r="A5" s="56"/>
      <c r="B5" s="485" t="s">
        <v>419</v>
      </c>
      <c r="C5" s="453"/>
      <c r="D5" s="453"/>
      <c r="E5" s="453"/>
      <c r="F5" s="58"/>
      <c r="H5" s="485" t="s">
        <v>419</v>
      </c>
      <c r="I5" s="453"/>
      <c r="J5" s="453"/>
      <c r="K5" s="453"/>
    </row>
    <row r="6" spans="1:12" ht="15" customHeight="1" x14ac:dyDescent="0.2">
      <c r="A6" s="56"/>
      <c r="B6" s="57"/>
      <c r="C6" s="56" t="s">
        <v>420</v>
      </c>
      <c r="D6" s="56"/>
      <c r="E6" s="56"/>
      <c r="F6" s="58"/>
      <c r="H6" s="57"/>
      <c r="I6" s="56" t="s">
        <v>421</v>
      </c>
      <c r="J6" s="56"/>
      <c r="K6" s="56"/>
    </row>
    <row r="7" spans="1:12" ht="23.25" customHeight="1" x14ac:dyDescent="0.2">
      <c r="A7" s="56"/>
      <c r="B7" s="59" t="s">
        <v>422</v>
      </c>
      <c r="C7" s="60" t="s">
        <v>423</v>
      </c>
      <c r="D7" s="61" t="s">
        <v>424</v>
      </c>
      <c r="E7" s="62" t="s">
        <v>425</v>
      </c>
      <c r="F7" s="58"/>
      <c r="H7" s="59" t="s">
        <v>422</v>
      </c>
      <c r="I7" s="60" t="s">
        <v>423</v>
      </c>
      <c r="J7" s="61" t="s">
        <v>424</v>
      </c>
      <c r="K7" s="62" t="s">
        <v>425</v>
      </c>
    </row>
    <row r="8" spans="1:12" ht="14.25" customHeight="1" x14ac:dyDescent="0.2">
      <c r="A8" s="56"/>
      <c r="B8" s="63">
        <v>1</v>
      </c>
      <c r="C8" s="64" t="s">
        <v>426</v>
      </c>
      <c r="D8" s="64"/>
      <c r="E8" s="65"/>
      <c r="F8" s="58"/>
      <c r="H8" s="63">
        <v>1</v>
      </c>
      <c r="I8" s="64" t="s">
        <v>426</v>
      </c>
      <c r="J8" s="64"/>
      <c r="K8" s="65"/>
    </row>
    <row r="9" spans="1:12" ht="24" customHeight="1" x14ac:dyDescent="0.2">
      <c r="A9" s="66"/>
      <c r="B9" s="67"/>
      <c r="C9" s="68" t="s">
        <v>427</v>
      </c>
      <c r="D9" s="68" t="s">
        <v>17</v>
      </c>
      <c r="E9" s="69">
        <f>21372.3+1055.3</f>
        <v>22427.599999999999</v>
      </c>
      <c r="F9" s="58"/>
      <c r="H9" s="67"/>
      <c r="I9" s="68" t="s">
        <v>427</v>
      </c>
      <c r="J9" s="68" t="s">
        <v>17</v>
      </c>
      <c r="K9" s="69">
        <f>43099.1-E9</f>
        <v>20671.5</v>
      </c>
      <c r="L9" s="256" t="s">
        <v>605</v>
      </c>
    </row>
    <row r="10" spans="1:12" ht="14.25" customHeight="1" x14ac:dyDescent="0.2">
      <c r="A10" s="66"/>
      <c r="B10" s="67"/>
      <c r="C10" s="68" t="s">
        <v>428</v>
      </c>
      <c r="D10" s="68" t="s">
        <v>25</v>
      </c>
      <c r="E10" s="70">
        <v>200</v>
      </c>
      <c r="F10" s="58"/>
      <c r="H10" s="67"/>
      <c r="I10" s="68" t="s">
        <v>428</v>
      </c>
      <c r="J10" s="68" t="s">
        <v>25</v>
      </c>
      <c r="K10" s="70">
        <f>236+15+10</f>
        <v>261</v>
      </c>
    </row>
    <row r="11" spans="1:12" ht="14.25" customHeight="1" x14ac:dyDescent="0.2">
      <c r="A11" s="66"/>
      <c r="B11" s="67"/>
      <c r="C11" s="68" t="s">
        <v>429</v>
      </c>
      <c r="D11" s="68" t="s">
        <v>25</v>
      </c>
      <c r="E11" s="70">
        <v>144</v>
      </c>
      <c r="F11" s="58"/>
      <c r="H11" s="67"/>
      <c r="I11" s="68" t="s">
        <v>429</v>
      </c>
      <c r="J11" s="68" t="s">
        <v>25</v>
      </c>
      <c r="K11" s="70">
        <f>162+9+6</f>
        <v>177</v>
      </c>
    </row>
    <row r="12" spans="1:12" ht="14.25" customHeight="1" x14ac:dyDescent="0.2">
      <c r="A12" s="66"/>
      <c r="B12" s="67"/>
      <c r="C12" s="68" t="s">
        <v>430</v>
      </c>
      <c r="D12" s="68" t="s">
        <v>25</v>
      </c>
      <c r="E12" s="70">
        <v>54</v>
      </c>
      <c r="F12" s="58"/>
      <c r="H12" s="67"/>
      <c r="I12" s="68" t="s">
        <v>430</v>
      </c>
      <c r="J12" s="68" t="s">
        <v>25</v>
      </c>
      <c r="K12" s="70">
        <f>54+1</f>
        <v>55</v>
      </c>
    </row>
    <row r="13" spans="1:12" ht="14.25" customHeight="1" x14ac:dyDescent="0.2">
      <c r="A13" s="66"/>
      <c r="B13" s="67"/>
      <c r="C13" s="68" t="s">
        <v>431</v>
      </c>
      <c r="D13" s="68" t="s">
        <v>25</v>
      </c>
      <c r="E13" s="70">
        <v>18</v>
      </c>
      <c r="F13" s="58"/>
      <c r="H13" s="67"/>
      <c r="I13" s="68" t="s">
        <v>431</v>
      </c>
      <c r="J13" s="68" t="s">
        <v>25</v>
      </c>
      <c r="K13" s="70">
        <v>1</v>
      </c>
    </row>
    <row r="14" spans="1:12" ht="14.25" customHeight="1" x14ac:dyDescent="0.2">
      <c r="A14" s="66"/>
      <c r="B14" s="67">
        <v>2</v>
      </c>
      <c r="C14" s="68" t="s">
        <v>432</v>
      </c>
      <c r="D14" s="68" t="s">
        <v>433</v>
      </c>
      <c r="E14" s="70">
        <v>6600</v>
      </c>
      <c r="F14" s="58"/>
      <c r="H14" s="67">
        <v>2</v>
      </c>
      <c r="I14" s="68" t="s">
        <v>432</v>
      </c>
      <c r="J14" s="68" t="s">
        <v>433</v>
      </c>
      <c r="K14" s="70">
        <f>K17*0.25</f>
        <v>1650</v>
      </c>
    </row>
    <row r="15" spans="1:12" ht="14.25" customHeight="1" x14ac:dyDescent="0.2">
      <c r="A15" s="66"/>
      <c r="B15" s="67"/>
      <c r="C15" s="68" t="s">
        <v>434</v>
      </c>
      <c r="D15" s="68" t="s">
        <v>433</v>
      </c>
      <c r="E15" s="70">
        <v>9900</v>
      </c>
      <c r="F15" s="58"/>
      <c r="H15" s="67"/>
      <c r="I15" s="68" t="s">
        <v>434</v>
      </c>
      <c r="J15" s="68" t="s">
        <v>433</v>
      </c>
      <c r="K15" s="70">
        <f>K17*0.45</f>
        <v>2970</v>
      </c>
    </row>
    <row r="16" spans="1:12" ht="14.25" customHeight="1" x14ac:dyDescent="0.2">
      <c r="A16" s="66"/>
      <c r="B16" s="67"/>
      <c r="C16" s="68" t="s">
        <v>435</v>
      </c>
      <c r="D16" s="68" t="s">
        <v>433</v>
      </c>
      <c r="E16" s="70">
        <v>13200</v>
      </c>
      <c r="F16" s="58"/>
      <c r="H16" s="67"/>
      <c r="I16" s="68" t="s">
        <v>435</v>
      </c>
      <c r="J16" s="68" t="s">
        <v>433</v>
      </c>
      <c r="K16" s="70">
        <f>K17*0.7</f>
        <v>4620</v>
      </c>
    </row>
    <row r="17" spans="1:11" ht="14.25" customHeight="1" x14ac:dyDescent="0.2">
      <c r="A17" s="66"/>
      <c r="B17" s="67"/>
      <c r="C17" s="68" t="s">
        <v>436</v>
      </c>
      <c r="D17" s="68" t="s">
        <v>433</v>
      </c>
      <c r="E17" s="70">
        <v>16500</v>
      </c>
      <c r="F17" s="58"/>
      <c r="H17" s="67"/>
      <c r="I17" s="68" t="s">
        <v>436</v>
      </c>
      <c r="J17" s="68" t="s">
        <v>433</v>
      </c>
      <c r="K17" s="70">
        <v>6600</v>
      </c>
    </row>
    <row r="18" spans="1:11" ht="14.25" customHeight="1" x14ac:dyDescent="0.2">
      <c r="A18" s="66"/>
      <c r="B18" s="67">
        <v>3</v>
      </c>
      <c r="C18" s="68" t="s">
        <v>437</v>
      </c>
      <c r="D18" s="68" t="s">
        <v>433</v>
      </c>
      <c r="E18" s="70">
        <f t="shared" ref="E18:E21" si="0">E10*E14</f>
        <v>1320000</v>
      </c>
      <c r="F18" s="58"/>
      <c r="H18" s="67">
        <v>3</v>
      </c>
      <c r="I18" s="68" t="s">
        <v>437</v>
      </c>
      <c r="J18" s="68" t="s">
        <v>433</v>
      </c>
      <c r="K18" s="70">
        <f t="shared" ref="K18:K21" si="1">K10*K14</f>
        <v>430650</v>
      </c>
    </row>
    <row r="19" spans="1:11" ht="14.25" customHeight="1" x14ac:dyDescent="0.2">
      <c r="A19" s="66"/>
      <c r="B19" s="67"/>
      <c r="C19" s="68" t="s">
        <v>438</v>
      </c>
      <c r="D19" s="68" t="s">
        <v>433</v>
      </c>
      <c r="E19" s="70">
        <f t="shared" si="0"/>
        <v>1425600</v>
      </c>
      <c r="F19" s="58"/>
      <c r="H19" s="67"/>
      <c r="I19" s="68" t="s">
        <v>438</v>
      </c>
      <c r="J19" s="68" t="s">
        <v>433</v>
      </c>
      <c r="K19" s="70">
        <f t="shared" si="1"/>
        <v>525690</v>
      </c>
    </row>
    <row r="20" spans="1:11" ht="14.25" customHeight="1" x14ac:dyDescent="0.2">
      <c r="A20" s="56"/>
      <c r="B20" s="71"/>
      <c r="C20" s="68" t="s">
        <v>439</v>
      </c>
      <c r="D20" s="68" t="s">
        <v>433</v>
      </c>
      <c r="E20" s="70">
        <f t="shared" si="0"/>
        <v>712800</v>
      </c>
      <c r="F20" s="58"/>
      <c r="H20" s="71"/>
      <c r="I20" s="68" t="s">
        <v>439</v>
      </c>
      <c r="J20" s="68" t="s">
        <v>433</v>
      </c>
      <c r="K20" s="70">
        <f t="shared" si="1"/>
        <v>254100</v>
      </c>
    </row>
    <row r="21" spans="1:11" ht="14.25" customHeight="1" x14ac:dyDescent="0.2">
      <c r="A21" s="56"/>
      <c r="B21" s="71"/>
      <c r="C21" s="68" t="s">
        <v>440</v>
      </c>
      <c r="D21" s="68" t="s">
        <v>433</v>
      </c>
      <c r="E21" s="70">
        <f t="shared" si="0"/>
        <v>297000</v>
      </c>
      <c r="F21" s="58"/>
      <c r="H21" s="71"/>
      <c r="I21" s="68" t="s">
        <v>440</v>
      </c>
      <c r="J21" s="68" t="s">
        <v>433</v>
      </c>
      <c r="K21" s="70">
        <f t="shared" si="1"/>
        <v>6600</v>
      </c>
    </row>
    <row r="22" spans="1:11" ht="14.25" customHeight="1" x14ac:dyDescent="0.2">
      <c r="A22" s="56"/>
      <c r="B22" s="71"/>
      <c r="C22" s="68" t="s">
        <v>441</v>
      </c>
      <c r="D22" s="68" t="s">
        <v>433</v>
      </c>
      <c r="E22" s="70">
        <f>E18+E19+E20+E21</f>
        <v>3755400</v>
      </c>
      <c r="F22" s="58"/>
      <c r="H22" s="71"/>
      <c r="I22" s="68" t="s">
        <v>441</v>
      </c>
      <c r="J22" s="68" t="s">
        <v>433</v>
      </c>
      <c r="K22" s="70">
        <f>K18+K19+K20+K21</f>
        <v>1217040</v>
      </c>
    </row>
    <row r="23" spans="1:11" ht="15" customHeight="1" x14ac:dyDescent="0.2">
      <c r="A23" s="72"/>
      <c r="B23" s="73"/>
      <c r="C23" s="74"/>
      <c r="D23" s="75"/>
      <c r="E23" s="76"/>
      <c r="F23" s="58"/>
      <c r="H23" s="73"/>
      <c r="I23" s="74"/>
      <c r="J23" s="75"/>
      <c r="K23" s="76"/>
    </row>
    <row r="24" spans="1:11" ht="15" customHeight="1" x14ac:dyDescent="0.2">
      <c r="A24" s="72"/>
      <c r="B24" s="482">
        <v>3</v>
      </c>
      <c r="C24" s="479" t="s">
        <v>442</v>
      </c>
      <c r="D24" s="77"/>
      <c r="E24" s="78"/>
      <c r="F24" s="58"/>
      <c r="H24" s="482">
        <v>3</v>
      </c>
      <c r="I24" s="479" t="s">
        <v>442</v>
      </c>
      <c r="J24" s="77"/>
      <c r="K24" s="78"/>
    </row>
    <row r="25" spans="1:11" ht="14.25" customHeight="1" x14ac:dyDescent="0.2">
      <c r="A25" s="72"/>
      <c r="B25" s="480"/>
      <c r="C25" s="480"/>
      <c r="D25" s="77"/>
      <c r="E25" s="78">
        <f>E22</f>
        <v>3755400</v>
      </c>
      <c r="F25" s="58"/>
      <c r="H25" s="480"/>
      <c r="I25" s="480"/>
      <c r="J25" s="77"/>
      <c r="K25" s="78">
        <f>K22</f>
        <v>1217040</v>
      </c>
    </row>
    <row r="26" spans="1:11" ht="15" customHeight="1" x14ac:dyDescent="0.2">
      <c r="A26" s="72"/>
      <c r="B26" s="481"/>
      <c r="C26" s="481"/>
      <c r="D26" s="79"/>
      <c r="E26" s="80">
        <f>E25/E9</f>
        <v>167.44546897572636</v>
      </c>
      <c r="F26" s="58"/>
      <c r="H26" s="481"/>
      <c r="I26" s="481"/>
      <c r="J26" s="79"/>
      <c r="K26" s="80">
        <f>K25/K9</f>
        <v>58.875263043320516</v>
      </c>
    </row>
    <row r="27" spans="1:11" ht="14.25" customHeight="1" x14ac:dyDescent="0.2">
      <c r="A27" s="56"/>
      <c r="B27" s="56"/>
      <c r="C27" s="56"/>
      <c r="D27" s="58"/>
      <c r="E27" s="58" t="e">
        <f>#REF!*[2]СМЕТА_СО_26.80!C6</f>
        <v>#REF!</v>
      </c>
      <c r="F27" s="58"/>
      <c r="H27" s="56"/>
      <c r="I27" s="56"/>
      <c r="J27" s="58"/>
      <c r="K27" s="58" t="e">
        <f>#REF!*[2]СМЕТА_СО_26.80!I6</f>
        <v>#REF!</v>
      </c>
    </row>
    <row r="28" spans="1:11" ht="14.25" customHeight="1" x14ac:dyDescent="0.2">
      <c r="A28" s="58"/>
      <c r="B28" s="58"/>
      <c r="C28" s="81" t="s">
        <v>443</v>
      </c>
      <c r="D28" s="58"/>
      <c r="E28" s="58" t="e">
        <f t="shared" ref="E28:E31" si="2">#REF!+#REF!</f>
        <v>#REF!</v>
      </c>
      <c r="F28" s="58"/>
      <c r="H28" s="58"/>
      <c r="I28" s="81" t="s">
        <v>443</v>
      </c>
      <c r="J28" s="58"/>
      <c r="K28" s="58" t="e">
        <f t="shared" ref="K28:K31" si="3">#REF!+#REF!</f>
        <v>#REF!</v>
      </c>
    </row>
    <row r="29" spans="1:11" ht="14.25" customHeight="1" x14ac:dyDescent="0.2">
      <c r="A29" s="58"/>
      <c r="B29" s="58"/>
      <c r="C29" s="81" t="s">
        <v>444</v>
      </c>
      <c r="D29" s="58"/>
      <c r="E29" s="58" t="e">
        <f t="shared" si="2"/>
        <v>#REF!</v>
      </c>
      <c r="F29" s="58"/>
      <c r="H29" s="58"/>
      <c r="I29" s="81" t="s">
        <v>444</v>
      </c>
      <c r="J29" s="58"/>
      <c r="K29" s="58" t="e">
        <f t="shared" si="3"/>
        <v>#REF!</v>
      </c>
    </row>
    <row r="30" spans="1:11" ht="14.25" customHeight="1" x14ac:dyDescent="0.2">
      <c r="A30" s="58"/>
      <c r="B30" s="58"/>
      <c r="C30" s="81" t="s">
        <v>445</v>
      </c>
      <c r="D30" s="58"/>
      <c r="E30" s="58" t="e">
        <f t="shared" si="2"/>
        <v>#REF!</v>
      </c>
      <c r="F30" s="58"/>
      <c r="H30" s="58"/>
      <c r="I30" s="81" t="s">
        <v>445</v>
      </c>
      <c r="J30" s="58"/>
      <c r="K30" s="58" t="e">
        <f t="shared" si="3"/>
        <v>#REF!</v>
      </c>
    </row>
    <row r="31" spans="1:11" ht="14.25" customHeight="1" x14ac:dyDescent="0.2">
      <c r="A31" s="58"/>
      <c r="B31" s="58"/>
      <c r="C31" s="81" t="s">
        <v>446</v>
      </c>
      <c r="D31" s="58"/>
      <c r="E31" s="58" t="e">
        <f t="shared" si="2"/>
        <v>#REF!</v>
      </c>
      <c r="F31" s="58"/>
      <c r="H31" s="58"/>
      <c r="I31" s="81" t="s">
        <v>446</v>
      </c>
      <c r="J31" s="58"/>
      <c r="K31" s="58" t="e">
        <f t="shared" si="3"/>
        <v>#REF!</v>
      </c>
    </row>
    <row r="32" spans="1:11" ht="14.25" customHeight="1" x14ac:dyDescent="0.2">
      <c r="A32" s="58"/>
      <c r="B32" s="58"/>
      <c r="C32" s="58"/>
      <c r="D32" s="58"/>
      <c r="E32" s="82"/>
      <c r="F32" s="58"/>
      <c r="H32" s="58"/>
      <c r="I32" s="58"/>
      <c r="J32" s="58"/>
      <c r="K32" s="82"/>
    </row>
    <row r="33" spans="1:11" ht="14.25" customHeight="1" x14ac:dyDescent="0.2">
      <c r="A33" s="58"/>
      <c r="B33" s="58"/>
      <c r="C33" s="58"/>
      <c r="D33" s="58"/>
      <c r="E33" s="83" t="e">
        <f>E28+E29+E30+E31</f>
        <v>#REF!</v>
      </c>
      <c r="F33" s="58"/>
      <c r="H33" s="58"/>
      <c r="I33" s="58"/>
      <c r="J33" s="58"/>
      <c r="K33" s="83" t="e">
        <f>K28+K29+K30+K31</f>
        <v>#REF!</v>
      </c>
    </row>
    <row r="34" spans="1:11" ht="14.25" customHeight="1" x14ac:dyDescent="0.2">
      <c r="A34" s="58"/>
      <c r="B34" s="84"/>
      <c r="C34" s="58"/>
      <c r="D34" s="58"/>
      <c r="E34" s="58"/>
      <c r="F34" s="58"/>
      <c r="H34" s="84"/>
      <c r="I34" s="58"/>
      <c r="J34" s="58"/>
      <c r="K34" s="58"/>
    </row>
    <row r="35" spans="1:11" ht="14.25" customHeight="1" x14ac:dyDescent="0.2">
      <c r="A35" s="58"/>
      <c r="B35" s="84"/>
      <c r="C35" s="58"/>
      <c r="D35" s="58"/>
      <c r="E35" s="58" t="e">
        <f>E33*0.1</f>
        <v>#REF!</v>
      </c>
      <c r="F35" s="58"/>
      <c r="H35" s="84"/>
      <c r="I35" s="58"/>
      <c r="J35" s="58"/>
      <c r="K35" s="58" t="e">
        <f>K33*0.1</f>
        <v>#REF!</v>
      </c>
    </row>
    <row r="36" spans="1:11" ht="14.25" customHeight="1" x14ac:dyDescent="0.2">
      <c r="A36" s="58"/>
      <c r="B36" s="84"/>
      <c r="C36" s="58"/>
      <c r="D36" s="58"/>
      <c r="E36" s="58"/>
      <c r="F36" s="58"/>
      <c r="H36" s="84"/>
      <c r="I36" s="58"/>
      <c r="J36" s="58"/>
      <c r="K36" s="58"/>
    </row>
    <row r="37" spans="1:11" ht="14.25" customHeight="1" x14ac:dyDescent="0.2">
      <c r="A37" s="58"/>
      <c r="B37" s="84"/>
      <c r="C37" s="58"/>
      <c r="D37" s="58"/>
      <c r="E37" s="58" t="e">
        <f>E33+E35</f>
        <v>#REF!</v>
      </c>
      <c r="F37" s="58"/>
      <c r="H37" s="84"/>
      <c r="I37" s="58"/>
      <c r="J37" s="58"/>
      <c r="K37" s="58" t="e">
        <f>K33+K35</f>
        <v>#REF!</v>
      </c>
    </row>
    <row r="38" spans="1:11" ht="14.25" customHeight="1" x14ac:dyDescent="0.2">
      <c r="A38" s="58"/>
      <c r="B38" s="84"/>
      <c r="C38" s="58"/>
      <c r="D38" s="58"/>
      <c r="E38" s="58"/>
      <c r="F38" s="58"/>
      <c r="H38" s="84"/>
      <c r="I38" s="58"/>
      <c r="J38" s="58"/>
      <c r="K38" s="58"/>
    </row>
    <row r="39" spans="1:11" ht="14.25" customHeight="1" x14ac:dyDescent="0.2">
      <c r="A39" s="58"/>
      <c r="B39" s="84"/>
      <c r="C39" s="58"/>
      <c r="D39" s="58"/>
      <c r="E39" s="83" t="e">
        <f>E37*1.2</f>
        <v>#REF!</v>
      </c>
      <c r="F39" s="83"/>
      <c r="H39" s="84"/>
      <c r="I39" s="58"/>
      <c r="J39" s="58"/>
      <c r="K39" s="83" t="e">
        <f>K37*1.2</f>
        <v>#REF!</v>
      </c>
    </row>
    <row r="40" spans="1:11" ht="14.25" customHeight="1" x14ac:dyDescent="0.2">
      <c r="A40" s="58"/>
      <c r="B40" s="84"/>
      <c r="C40" s="58"/>
      <c r="D40" s="58"/>
      <c r="E40" s="58"/>
      <c r="F40" s="83"/>
      <c r="H40" s="84"/>
      <c r="I40" s="58"/>
      <c r="J40" s="58"/>
      <c r="K40" s="58"/>
    </row>
    <row r="41" spans="1:11" ht="14.25" customHeight="1" x14ac:dyDescent="0.2">
      <c r="A41" s="58"/>
      <c r="B41" s="84"/>
      <c r="C41" s="58"/>
      <c r="D41" s="58">
        <v>2.44</v>
      </c>
      <c r="E41" s="83">
        <f>2.44*E9</f>
        <v>54723.343999999997</v>
      </c>
      <c r="F41" s="83"/>
      <c r="H41" s="84"/>
      <c r="I41" s="58"/>
      <c r="J41" s="58">
        <v>2.44</v>
      </c>
      <c r="K41" s="83">
        <f>2.44*K9</f>
        <v>50438.46</v>
      </c>
    </row>
    <row r="42" spans="1:11" ht="14.25" customHeight="1" x14ac:dyDescent="0.2">
      <c r="A42" s="56"/>
      <c r="B42" s="57"/>
      <c r="C42" s="56"/>
      <c r="D42" s="56"/>
      <c r="E42" s="56"/>
      <c r="F42" s="58"/>
      <c r="H42" s="57"/>
      <c r="I42" s="56"/>
      <c r="J42" s="56"/>
      <c r="K42" s="56"/>
    </row>
    <row r="43" spans="1:11" ht="14.25" customHeight="1" x14ac:dyDescent="0.2">
      <c r="A43" s="56"/>
      <c r="B43" s="57"/>
      <c r="C43" s="56"/>
      <c r="D43" s="56"/>
      <c r="E43" s="56"/>
      <c r="F43" s="58"/>
      <c r="H43" s="57"/>
      <c r="I43" s="56"/>
      <c r="J43" s="56"/>
      <c r="K43" s="56"/>
    </row>
    <row r="44" spans="1:11" ht="14.25" customHeight="1" x14ac:dyDescent="0.2">
      <c r="A44" s="56"/>
      <c r="B44" s="57"/>
      <c r="C44" s="56"/>
      <c r="D44" s="56"/>
      <c r="E44" s="56"/>
      <c r="F44" s="58"/>
      <c r="H44" s="57"/>
      <c r="I44" s="56"/>
      <c r="J44" s="56"/>
      <c r="K44" s="56"/>
    </row>
    <row r="45" spans="1:11" ht="14.25" customHeight="1" x14ac:dyDescent="0.2">
      <c r="A45" s="56"/>
      <c r="B45" s="57"/>
      <c r="C45" s="56"/>
      <c r="D45" s="56"/>
      <c r="E45" s="56"/>
      <c r="F45" s="58"/>
      <c r="H45" s="57"/>
      <c r="I45" s="56"/>
      <c r="J45" s="56"/>
      <c r="K45" s="56"/>
    </row>
    <row r="46" spans="1:11" ht="14.25" customHeight="1" x14ac:dyDescent="0.2">
      <c r="A46" s="56"/>
      <c r="B46" s="57"/>
      <c r="C46" s="56"/>
      <c r="D46" s="56"/>
      <c r="E46" s="56"/>
      <c r="F46" s="58"/>
      <c r="H46" s="57"/>
      <c r="I46" s="56"/>
      <c r="J46" s="56"/>
      <c r="K46" s="56"/>
    </row>
    <row r="47" spans="1:11" ht="14.25" customHeight="1" x14ac:dyDescent="0.2">
      <c r="A47" s="56"/>
      <c r="B47" s="57"/>
      <c r="C47" s="56"/>
      <c r="D47" s="56"/>
      <c r="E47" s="56"/>
      <c r="F47" s="58"/>
      <c r="H47" s="57"/>
      <c r="I47" s="56"/>
      <c r="J47" s="56"/>
      <c r="K47" s="56"/>
    </row>
    <row r="48" spans="1:11" ht="14.25" customHeight="1" x14ac:dyDescent="0.2">
      <c r="A48" s="56"/>
      <c r="B48" s="57"/>
      <c r="C48" s="56"/>
      <c r="D48" s="56"/>
      <c r="E48" s="56"/>
      <c r="F48" s="58"/>
      <c r="H48" s="57"/>
      <c r="I48" s="56"/>
      <c r="J48" s="56"/>
      <c r="K48" s="56"/>
    </row>
    <row r="49" spans="1:11" ht="14.25" customHeight="1" x14ac:dyDescent="0.2">
      <c r="A49" s="56"/>
      <c r="B49" s="57"/>
      <c r="C49" s="56"/>
      <c r="D49" s="56"/>
      <c r="E49" s="56"/>
      <c r="F49" s="58"/>
      <c r="H49" s="57"/>
      <c r="I49" s="56"/>
      <c r="J49" s="56"/>
      <c r="K49" s="56"/>
    </row>
    <row r="50" spans="1:11" ht="14.25" customHeight="1" x14ac:dyDescent="0.2">
      <c r="A50" s="56"/>
      <c r="B50" s="57"/>
      <c r="C50" s="56"/>
      <c r="D50" s="56"/>
      <c r="E50" s="56"/>
      <c r="F50" s="58"/>
      <c r="H50" s="57"/>
      <c r="I50" s="56"/>
      <c r="J50" s="56"/>
      <c r="K50" s="56"/>
    </row>
    <row r="51" spans="1:11" ht="14.25" customHeight="1" x14ac:dyDescent="0.2">
      <c r="A51" s="85"/>
      <c r="B51" s="86"/>
      <c r="C51" s="85"/>
      <c r="D51" s="85"/>
      <c r="E51" s="85"/>
      <c r="F51" s="87"/>
      <c r="H51" s="86"/>
      <c r="I51" s="85"/>
      <c r="J51" s="85"/>
      <c r="K51" s="85"/>
    </row>
    <row r="52" spans="1:11" ht="14.25" customHeight="1" x14ac:dyDescent="0.2">
      <c r="A52" s="85"/>
      <c r="B52" s="86"/>
      <c r="C52" s="85"/>
      <c r="D52" s="85"/>
      <c r="E52" s="85"/>
      <c r="F52" s="87"/>
      <c r="H52" s="86"/>
      <c r="I52" s="85"/>
      <c r="J52" s="85"/>
      <c r="K52" s="85"/>
    </row>
    <row r="53" spans="1:11" ht="14.25" customHeight="1" x14ac:dyDescent="0.2">
      <c r="A53" s="85"/>
      <c r="B53" s="86"/>
      <c r="C53" s="85"/>
      <c r="D53" s="85"/>
      <c r="E53" s="85"/>
      <c r="F53" s="87"/>
      <c r="H53" s="86"/>
      <c r="I53" s="85"/>
      <c r="J53" s="85"/>
      <c r="K53" s="85"/>
    </row>
    <row r="54" spans="1:11" ht="14.25" customHeight="1" x14ac:dyDescent="0.2">
      <c r="A54" s="85"/>
      <c r="B54" s="86"/>
      <c r="C54" s="85"/>
      <c r="D54" s="85"/>
      <c r="E54" s="85"/>
      <c r="F54" s="87"/>
      <c r="H54" s="86"/>
      <c r="I54" s="85"/>
      <c r="J54" s="85"/>
      <c r="K54" s="85"/>
    </row>
    <row r="55" spans="1:11" ht="14.25" customHeight="1" x14ac:dyDescent="0.2">
      <c r="A55" s="85"/>
      <c r="B55" s="86"/>
      <c r="C55" s="85"/>
      <c r="D55" s="85"/>
      <c r="E55" s="85"/>
      <c r="F55" s="87"/>
      <c r="H55" s="86"/>
      <c r="I55" s="85"/>
      <c r="J55" s="85"/>
      <c r="K55" s="85"/>
    </row>
    <row r="56" spans="1:11" ht="14.25" customHeight="1" x14ac:dyDescent="0.2">
      <c r="A56" s="85"/>
      <c r="B56" s="86"/>
      <c r="C56" s="85"/>
      <c r="D56" s="85"/>
      <c r="E56" s="85"/>
      <c r="F56" s="87"/>
      <c r="H56" s="86"/>
      <c r="I56" s="85"/>
      <c r="J56" s="85"/>
      <c r="K56" s="85"/>
    </row>
    <row r="57" spans="1:11" ht="14.25" customHeight="1" x14ac:dyDescent="0.2">
      <c r="A57" s="85"/>
      <c r="B57" s="86"/>
      <c r="C57" s="85"/>
      <c r="D57" s="85"/>
      <c r="E57" s="85"/>
      <c r="F57" s="87"/>
      <c r="H57" s="86"/>
      <c r="I57" s="85"/>
      <c r="J57" s="85"/>
      <c r="K57" s="85"/>
    </row>
    <row r="58" spans="1:11" ht="14.25" customHeight="1" x14ac:dyDescent="0.2">
      <c r="A58" s="85"/>
      <c r="B58" s="86"/>
      <c r="C58" s="85"/>
      <c r="D58" s="85"/>
      <c r="E58" s="85"/>
      <c r="F58" s="87"/>
      <c r="H58" s="86"/>
      <c r="I58" s="85"/>
      <c r="J58" s="85"/>
      <c r="K58" s="85"/>
    </row>
    <row r="59" spans="1:11" ht="14.25" customHeight="1" x14ac:dyDescent="0.2">
      <c r="A59" s="85"/>
      <c r="B59" s="86"/>
      <c r="C59" s="85"/>
      <c r="D59" s="85"/>
      <c r="E59" s="85"/>
      <c r="F59" s="87"/>
      <c r="H59" s="86"/>
      <c r="I59" s="85"/>
      <c r="J59" s="85"/>
      <c r="K59" s="85"/>
    </row>
    <row r="60" spans="1:11" ht="14.25" customHeight="1" x14ac:dyDescent="0.2">
      <c r="A60" s="85"/>
      <c r="B60" s="86"/>
      <c r="C60" s="85"/>
      <c r="D60" s="85"/>
      <c r="E60" s="85"/>
      <c r="F60" s="87"/>
      <c r="H60" s="86"/>
      <c r="I60" s="85"/>
      <c r="J60" s="85"/>
      <c r="K60" s="85"/>
    </row>
    <row r="61" spans="1:11" ht="14.25" customHeight="1" x14ac:dyDescent="0.2">
      <c r="A61" s="85"/>
      <c r="B61" s="86"/>
      <c r="C61" s="85"/>
      <c r="D61" s="85"/>
      <c r="E61" s="85"/>
      <c r="F61" s="87"/>
      <c r="H61" s="86"/>
      <c r="I61" s="85"/>
      <c r="J61" s="85"/>
      <c r="K61" s="85"/>
    </row>
    <row r="62" spans="1:11" ht="14.25" customHeight="1" x14ac:dyDescent="0.2">
      <c r="A62" s="85"/>
      <c r="B62" s="86"/>
      <c r="C62" s="85"/>
      <c r="D62" s="85"/>
      <c r="E62" s="85"/>
      <c r="F62" s="87"/>
      <c r="H62" s="86"/>
      <c r="I62" s="85"/>
      <c r="J62" s="85"/>
      <c r="K62" s="85"/>
    </row>
    <row r="63" spans="1:11" ht="14.25" customHeight="1" x14ac:dyDescent="0.2">
      <c r="A63" s="85"/>
      <c r="B63" s="86"/>
      <c r="C63" s="85"/>
      <c r="D63" s="85"/>
      <c r="E63" s="85"/>
      <c r="F63" s="87"/>
      <c r="H63" s="86"/>
      <c r="I63" s="85"/>
      <c r="J63" s="85"/>
      <c r="K63" s="85"/>
    </row>
    <row r="64" spans="1:11" ht="14.25" customHeight="1" x14ac:dyDescent="0.2">
      <c r="A64" s="85"/>
      <c r="B64" s="86"/>
      <c r="C64" s="85"/>
      <c r="D64" s="85"/>
      <c r="E64" s="85"/>
      <c r="F64" s="87"/>
      <c r="H64" s="86"/>
      <c r="I64" s="85"/>
      <c r="J64" s="85"/>
      <c r="K64" s="85"/>
    </row>
    <row r="65" spans="1:11" ht="14.25" customHeight="1" x14ac:dyDescent="0.2">
      <c r="A65" s="85"/>
      <c r="B65" s="86"/>
      <c r="C65" s="85"/>
      <c r="D65" s="85"/>
      <c r="E65" s="85"/>
      <c r="F65" s="87"/>
      <c r="H65" s="86"/>
      <c r="I65" s="85"/>
      <c r="J65" s="85"/>
      <c r="K65" s="85"/>
    </row>
    <row r="66" spans="1:11" ht="14.25" customHeight="1" x14ac:dyDescent="0.2">
      <c r="A66" s="85"/>
      <c r="B66" s="86"/>
      <c r="C66" s="85"/>
      <c r="D66" s="85"/>
      <c r="E66" s="85"/>
      <c r="F66" s="87"/>
      <c r="H66" s="86"/>
      <c r="I66" s="85"/>
      <c r="J66" s="85"/>
      <c r="K66" s="85"/>
    </row>
    <row r="67" spans="1:11" ht="14.25" customHeight="1" x14ac:dyDescent="0.2">
      <c r="A67" s="85"/>
      <c r="B67" s="86"/>
      <c r="C67" s="85"/>
      <c r="D67" s="85"/>
      <c r="E67" s="85"/>
      <c r="F67" s="87"/>
      <c r="H67" s="86"/>
      <c r="I67" s="85"/>
      <c r="J67" s="85"/>
      <c r="K67" s="85"/>
    </row>
    <row r="68" spans="1:11" ht="14.25" customHeight="1" x14ac:dyDescent="0.2">
      <c r="A68" s="85"/>
      <c r="B68" s="86"/>
      <c r="C68" s="85"/>
      <c r="D68" s="85"/>
      <c r="E68" s="85"/>
      <c r="F68" s="87"/>
      <c r="H68" s="86"/>
      <c r="I68" s="85"/>
      <c r="J68" s="85"/>
      <c r="K68" s="85"/>
    </row>
    <row r="69" spans="1:11" ht="14.25" customHeight="1" x14ac:dyDescent="0.2">
      <c r="A69" s="85"/>
      <c r="B69" s="86"/>
      <c r="C69" s="85"/>
      <c r="D69" s="85"/>
      <c r="E69" s="85"/>
      <c r="F69" s="87"/>
      <c r="H69" s="86"/>
      <c r="I69" s="85"/>
      <c r="J69" s="85"/>
      <c r="K69" s="85"/>
    </row>
    <row r="70" spans="1:11" ht="14.25" customHeight="1" x14ac:dyDescent="0.2">
      <c r="A70" s="85"/>
      <c r="B70" s="86"/>
      <c r="C70" s="85"/>
      <c r="D70" s="85"/>
      <c r="E70" s="85"/>
      <c r="F70" s="87"/>
      <c r="H70" s="86"/>
      <c r="I70" s="85"/>
      <c r="J70" s="85"/>
      <c r="K70" s="85"/>
    </row>
    <row r="71" spans="1:11" ht="14.25" customHeight="1" x14ac:dyDescent="0.2">
      <c r="A71" s="85"/>
      <c r="B71" s="86"/>
      <c r="C71" s="85"/>
      <c r="D71" s="85"/>
      <c r="E71" s="85"/>
      <c r="F71" s="87"/>
      <c r="H71" s="86"/>
      <c r="I71" s="85"/>
      <c r="J71" s="85"/>
      <c r="K71" s="85"/>
    </row>
    <row r="72" spans="1:11" ht="14.25" customHeight="1" x14ac:dyDescent="0.2">
      <c r="A72" s="85"/>
      <c r="B72" s="86"/>
      <c r="C72" s="85"/>
      <c r="D72" s="85"/>
      <c r="E72" s="85"/>
      <c r="F72" s="87"/>
      <c r="H72" s="86"/>
      <c r="I72" s="85"/>
      <c r="J72" s="85"/>
      <c r="K72" s="85"/>
    </row>
    <row r="73" spans="1:11" ht="14.25" customHeight="1" x14ac:dyDescent="0.2">
      <c r="A73" s="85"/>
      <c r="B73" s="86"/>
      <c r="C73" s="85"/>
      <c r="D73" s="85"/>
      <c r="E73" s="85"/>
      <c r="F73" s="87"/>
      <c r="H73" s="86"/>
      <c r="I73" s="85"/>
      <c r="J73" s="85"/>
      <c r="K73" s="85"/>
    </row>
    <row r="74" spans="1:11" ht="14.25" customHeight="1" x14ac:dyDescent="0.2">
      <c r="A74" s="85"/>
      <c r="B74" s="86"/>
      <c r="C74" s="85"/>
      <c r="D74" s="85"/>
      <c r="E74" s="85"/>
      <c r="F74" s="87"/>
      <c r="H74" s="86"/>
      <c r="I74" s="85"/>
      <c r="J74" s="85"/>
      <c r="K74" s="85"/>
    </row>
    <row r="75" spans="1:11" ht="14.25" customHeight="1" x14ac:dyDescent="0.2">
      <c r="A75" s="85"/>
      <c r="B75" s="86"/>
      <c r="C75" s="85"/>
      <c r="D75" s="85"/>
      <c r="E75" s="85"/>
      <c r="F75" s="87"/>
      <c r="H75" s="86"/>
      <c r="I75" s="85"/>
      <c r="J75" s="85"/>
      <c r="K75" s="85"/>
    </row>
    <row r="76" spans="1:11" ht="14.25" customHeight="1" x14ac:dyDescent="0.2">
      <c r="A76" s="85"/>
      <c r="B76" s="86"/>
      <c r="C76" s="85"/>
      <c r="D76" s="85"/>
      <c r="E76" s="85"/>
      <c r="F76" s="87"/>
      <c r="H76" s="86"/>
      <c r="I76" s="85"/>
      <c r="J76" s="85"/>
      <c r="K76" s="85"/>
    </row>
    <row r="77" spans="1:11" ht="14.25" customHeight="1" x14ac:dyDescent="0.2">
      <c r="A77" s="85"/>
      <c r="B77" s="86"/>
      <c r="C77" s="85"/>
      <c r="D77" s="85"/>
      <c r="E77" s="85"/>
      <c r="F77" s="87"/>
      <c r="H77" s="86"/>
      <c r="I77" s="85"/>
      <c r="J77" s="85"/>
      <c r="K77" s="85"/>
    </row>
    <row r="78" spans="1:11" ht="14.25" customHeight="1" x14ac:dyDescent="0.2">
      <c r="A78" s="85"/>
      <c r="B78" s="86"/>
      <c r="C78" s="85"/>
      <c r="D78" s="85"/>
      <c r="E78" s="85"/>
      <c r="F78" s="87"/>
      <c r="H78" s="86"/>
      <c r="I78" s="85"/>
      <c r="J78" s="85"/>
      <c r="K78" s="85"/>
    </row>
    <row r="79" spans="1:11" ht="14.25" customHeight="1" x14ac:dyDescent="0.2">
      <c r="A79" s="85"/>
      <c r="B79" s="86"/>
      <c r="C79" s="85"/>
      <c r="D79" s="85"/>
      <c r="E79" s="85"/>
      <c r="F79" s="87"/>
      <c r="H79" s="86"/>
      <c r="I79" s="85"/>
      <c r="J79" s="85"/>
      <c r="K79" s="85"/>
    </row>
    <row r="80" spans="1:11" ht="14.25" customHeight="1" x14ac:dyDescent="0.2">
      <c r="A80" s="85"/>
      <c r="B80" s="86"/>
      <c r="C80" s="85"/>
      <c r="D80" s="85"/>
      <c r="E80" s="85"/>
      <c r="F80" s="87"/>
      <c r="H80" s="86"/>
      <c r="I80" s="85"/>
      <c r="J80" s="85"/>
      <c r="K80" s="85"/>
    </row>
    <row r="81" spans="1:11" ht="14.25" customHeight="1" x14ac:dyDescent="0.2">
      <c r="A81" s="85"/>
      <c r="B81" s="86"/>
      <c r="C81" s="85"/>
      <c r="D81" s="85"/>
      <c r="E81" s="85"/>
      <c r="F81" s="87"/>
      <c r="H81" s="86"/>
      <c r="I81" s="85"/>
      <c r="J81" s="85"/>
      <c r="K81" s="85"/>
    </row>
    <row r="82" spans="1:11" ht="14.25" customHeight="1" x14ac:dyDescent="0.2">
      <c r="A82" s="85"/>
      <c r="B82" s="86"/>
      <c r="C82" s="85"/>
      <c r="D82" s="85"/>
      <c r="E82" s="85"/>
      <c r="F82" s="87"/>
      <c r="H82" s="86"/>
      <c r="I82" s="85"/>
      <c r="J82" s="85"/>
      <c r="K82" s="85"/>
    </row>
    <row r="83" spans="1:11" ht="14.25" customHeight="1" x14ac:dyDescent="0.2">
      <c r="A83" s="85"/>
      <c r="B83" s="86"/>
      <c r="C83" s="85"/>
      <c r="D83" s="85"/>
      <c r="E83" s="85"/>
      <c r="F83" s="87"/>
      <c r="H83" s="86"/>
      <c r="I83" s="85"/>
      <c r="J83" s="85"/>
      <c r="K83" s="85"/>
    </row>
    <row r="84" spans="1:11" ht="14.25" customHeight="1" x14ac:dyDescent="0.2">
      <c r="A84" s="85"/>
      <c r="B84" s="86"/>
      <c r="C84" s="85"/>
      <c r="D84" s="85"/>
      <c r="E84" s="85"/>
      <c r="F84" s="87"/>
      <c r="H84" s="86"/>
      <c r="I84" s="85"/>
      <c r="J84" s="85"/>
      <c r="K84" s="85"/>
    </row>
    <row r="85" spans="1:11" ht="14.25" customHeight="1" x14ac:dyDescent="0.2">
      <c r="A85" s="85"/>
      <c r="B85" s="86"/>
      <c r="C85" s="85"/>
      <c r="D85" s="85"/>
      <c r="E85" s="85"/>
      <c r="F85" s="87"/>
      <c r="H85" s="86"/>
      <c r="I85" s="85"/>
      <c r="J85" s="85"/>
      <c r="K85" s="85"/>
    </row>
    <row r="86" spans="1:11" ht="14.25" customHeight="1" x14ac:dyDescent="0.2">
      <c r="A86" s="85"/>
      <c r="B86" s="86"/>
      <c r="C86" s="85"/>
      <c r="D86" s="85"/>
      <c r="E86" s="85"/>
      <c r="F86" s="87"/>
      <c r="H86" s="86"/>
      <c r="I86" s="85"/>
      <c r="J86" s="85"/>
      <c r="K86" s="85"/>
    </row>
    <row r="87" spans="1:11" ht="14.25" customHeight="1" x14ac:dyDescent="0.2">
      <c r="A87" s="85"/>
      <c r="B87" s="86"/>
      <c r="C87" s="85"/>
      <c r="D87" s="85"/>
      <c r="E87" s="85"/>
      <c r="F87" s="87"/>
      <c r="H87" s="86"/>
      <c r="I87" s="85"/>
      <c r="J87" s="85"/>
      <c r="K87" s="85"/>
    </row>
    <row r="88" spans="1:11" ht="14.25" customHeight="1" x14ac:dyDescent="0.2">
      <c r="A88" s="85"/>
      <c r="B88" s="86"/>
      <c r="C88" s="85"/>
      <c r="D88" s="85"/>
      <c r="E88" s="85"/>
      <c r="F88" s="87"/>
      <c r="H88" s="86"/>
      <c r="I88" s="85"/>
      <c r="J88" s="85"/>
      <c r="K88" s="85"/>
    </row>
    <row r="89" spans="1:11" ht="14.25" customHeight="1" x14ac:dyDescent="0.2">
      <c r="A89" s="85"/>
      <c r="B89" s="86"/>
      <c r="C89" s="85"/>
      <c r="D89" s="85"/>
      <c r="E89" s="85"/>
      <c r="F89" s="87"/>
      <c r="H89" s="86"/>
      <c r="I89" s="85"/>
      <c r="J89" s="85"/>
      <c r="K89" s="85"/>
    </row>
    <row r="90" spans="1:11" ht="14.25" customHeight="1" x14ac:dyDescent="0.2">
      <c r="A90" s="85"/>
      <c r="B90" s="86"/>
      <c r="C90" s="85"/>
      <c r="D90" s="85"/>
      <c r="E90" s="85"/>
      <c r="F90" s="87"/>
      <c r="H90" s="86"/>
      <c r="I90" s="85"/>
      <c r="J90" s="85"/>
      <c r="K90" s="85"/>
    </row>
    <row r="91" spans="1:11" ht="14.25" customHeight="1" x14ac:dyDescent="0.2">
      <c r="A91" s="85"/>
      <c r="B91" s="86"/>
      <c r="C91" s="85"/>
      <c r="D91" s="85"/>
      <c r="E91" s="85"/>
      <c r="F91" s="87"/>
      <c r="H91" s="86"/>
      <c r="I91" s="85"/>
      <c r="J91" s="85"/>
      <c r="K91" s="85"/>
    </row>
    <row r="92" spans="1:11" ht="14.25" customHeight="1" x14ac:dyDescent="0.2">
      <c r="A92" s="85"/>
      <c r="B92" s="86"/>
      <c r="C92" s="85"/>
      <c r="D92" s="85"/>
      <c r="E92" s="85"/>
      <c r="F92" s="87"/>
      <c r="H92" s="86"/>
      <c r="I92" s="85"/>
      <c r="J92" s="85"/>
      <c r="K92" s="85"/>
    </row>
    <row r="93" spans="1:11" ht="14.25" customHeight="1" x14ac:dyDescent="0.2">
      <c r="A93" s="85"/>
      <c r="B93" s="86"/>
      <c r="C93" s="85"/>
      <c r="D93" s="85"/>
      <c r="E93" s="85"/>
      <c r="F93" s="87"/>
      <c r="H93" s="86"/>
      <c r="I93" s="85"/>
      <c r="J93" s="85"/>
      <c r="K93" s="85"/>
    </row>
    <row r="94" spans="1:11" ht="14.25" customHeight="1" x14ac:dyDescent="0.2">
      <c r="A94" s="85"/>
      <c r="B94" s="86"/>
      <c r="C94" s="85"/>
      <c r="D94" s="85"/>
      <c r="E94" s="85"/>
      <c r="F94" s="87"/>
      <c r="H94" s="86"/>
      <c r="I94" s="85"/>
      <c r="J94" s="85"/>
      <c r="K94" s="85"/>
    </row>
    <row r="95" spans="1:11" ht="14.25" customHeight="1" x14ac:dyDescent="0.2">
      <c r="A95" s="85"/>
      <c r="B95" s="86"/>
      <c r="C95" s="85"/>
      <c r="D95" s="85"/>
      <c r="E95" s="85"/>
      <c r="F95" s="87"/>
      <c r="H95" s="86"/>
      <c r="I95" s="85"/>
      <c r="J95" s="85"/>
      <c r="K95" s="85"/>
    </row>
    <row r="96" spans="1:11" ht="14.25" customHeight="1" x14ac:dyDescent="0.2">
      <c r="A96" s="85"/>
      <c r="B96" s="86"/>
      <c r="C96" s="85"/>
      <c r="D96" s="85"/>
      <c r="E96" s="85"/>
      <c r="F96" s="87"/>
      <c r="H96" s="86"/>
      <c r="I96" s="85"/>
      <c r="J96" s="85"/>
      <c r="K96" s="85"/>
    </row>
    <row r="97" spans="1:11" ht="14.25" customHeight="1" x14ac:dyDescent="0.2">
      <c r="A97" s="85"/>
      <c r="B97" s="86"/>
      <c r="C97" s="85"/>
      <c r="D97" s="85"/>
      <c r="E97" s="85"/>
      <c r="F97" s="87"/>
      <c r="H97" s="86"/>
      <c r="I97" s="85"/>
      <c r="J97" s="85"/>
      <c r="K97" s="85"/>
    </row>
    <row r="98" spans="1:11" ht="14.25" customHeight="1" x14ac:dyDescent="0.2">
      <c r="A98" s="85"/>
      <c r="B98" s="86"/>
      <c r="C98" s="85"/>
      <c r="D98" s="85"/>
      <c r="E98" s="85"/>
      <c r="F98" s="87"/>
      <c r="H98" s="86"/>
      <c r="I98" s="85"/>
      <c r="J98" s="85"/>
      <c r="K98" s="85"/>
    </row>
    <row r="99" spans="1:11" ht="14.25" customHeight="1" x14ac:dyDescent="0.2">
      <c r="A99" s="85"/>
      <c r="B99" s="86"/>
      <c r="C99" s="85"/>
      <c r="D99" s="85"/>
      <c r="E99" s="85"/>
      <c r="F99" s="87"/>
      <c r="H99" s="86"/>
      <c r="I99" s="85"/>
      <c r="J99" s="85"/>
      <c r="K99" s="85"/>
    </row>
    <row r="100" spans="1:11" ht="14.25" customHeight="1" x14ac:dyDescent="0.2">
      <c r="A100" s="85"/>
      <c r="B100" s="86"/>
      <c r="C100" s="85"/>
      <c r="D100" s="85"/>
      <c r="E100" s="85"/>
      <c r="F100" s="87"/>
      <c r="H100" s="86"/>
      <c r="I100" s="85"/>
      <c r="J100" s="85"/>
      <c r="K100" s="85"/>
    </row>
  </sheetData>
  <mergeCells count="10">
    <mergeCell ref="C24:C26"/>
    <mergeCell ref="H24:H26"/>
    <mergeCell ref="B3:E3"/>
    <mergeCell ref="B4:E4"/>
    <mergeCell ref="B5:E5"/>
    <mergeCell ref="B24:B26"/>
    <mergeCell ref="H3:K3"/>
    <mergeCell ref="H4:K4"/>
    <mergeCell ref="H5:K5"/>
    <mergeCell ref="I24:I2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8000"/>
  </sheetPr>
  <dimension ref="A1:F100"/>
  <sheetViews>
    <sheetView workbookViewId="0">
      <selection activeCell="F10" sqref="F10"/>
    </sheetView>
  </sheetViews>
  <sheetFormatPr baseColWidth="10" defaultColWidth="14.5" defaultRowHeight="15" customHeight="1" x14ac:dyDescent="0.2"/>
  <cols>
    <col min="1" max="1" width="9.1640625" customWidth="1"/>
    <col min="2" max="2" width="32.33203125" customWidth="1"/>
    <col min="3" max="3" width="12.33203125" customWidth="1"/>
    <col min="4" max="4" width="16" customWidth="1"/>
    <col min="5" max="5" width="9.5" customWidth="1"/>
    <col min="6" max="6" width="27.83203125" customWidth="1"/>
    <col min="7" max="11" width="8" customWidth="1"/>
  </cols>
  <sheetData>
    <row r="1" spans="1:6" ht="14.25" customHeight="1" x14ac:dyDescent="0.2">
      <c r="A1" s="57"/>
      <c r="B1" s="56"/>
      <c r="C1" s="56"/>
      <c r="D1" s="56"/>
      <c r="E1" s="88"/>
      <c r="F1" s="88"/>
    </row>
    <row r="2" spans="1:6" ht="14.25" customHeight="1" x14ac:dyDescent="0.2">
      <c r="A2" s="57"/>
      <c r="B2" s="56"/>
      <c r="C2" s="56"/>
      <c r="D2" s="56"/>
      <c r="E2" s="88"/>
      <c r="F2" s="88"/>
    </row>
    <row r="3" spans="1:6" ht="15" customHeight="1" x14ac:dyDescent="0.2">
      <c r="A3" s="483" t="s">
        <v>417</v>
      </c>
      <c r="B3" s="453"/>
      <c r="C3" s="453"/>
      <c r="D3" s="453"/>
      <c r="E3" s="88"/>
      <c r="F3" s="88"/>
    </row>
    <row r="4" spans="1:6" ht="15" customHeight="1" x14ac:dyDescent="0.2">
      <c r="A4" s="488" t="s">
        <v>418</v>
      </c>
      <c r="B4" s="453"/>
      <c r="C4" s="453"/>
      <c r="D4" s="453"/>
      <c r="E4" s="88"/>
      <c r="F4" s="88"/>
    </row>
    <row r="5" spans="1:6" ht="15" customHeight="1" x14ac:dyDescent="0.2">
      <c r="A5" s="489" t="s">
        <v>447</v>
      </c>
      <c r="B5" s="453"/>
      <c r="C5" s="453"/>
      <c r="D5" s="453"/>
      <c r="E5" s="88"/>
      <c r="F5" s="88"/>
    </row>
    <row r="6" spans="1:6" ht="15" customHeight="1" x14ac:dyDescent="0.2">
      <c r="A6" s="57"/>
      <c r="B6" s="56"/>
      <c r="C6" s="56"/>
      <c r="D6" s="56"/>
      <c r="E6" s="88"/>
      <c r="F6" s="88"/>
    </row>
    <row r="7" spans="1:6" ht="23.25" customHeight="1" x14ac:dyDescent="0.2">
      <c r="A7" s="59" t="s">
        <v>422</v>
      </c>
      <c r="B7" s="60" t="s">
        <v>423</v>
      </c>
      <c r="C7" s="61" t="s">
        <v>424</v>
      </c>
      <c r="D7" s="62" t="s">
        <v>448</v>
      </c>
      <c r="E7" s="88"/>
      <c r="F7" s="88"/>
    </row>
    <row r="8" spans="1:6" ht="34.5" customHeight="1" x14ac:dyDescent="0.2">
      <c r="A8" s="59">
        <v>1</v>
      </c>
      <c r="B8" s="60" t="s">
        <v>449</v>
      </c>
      <c r="C8" s="61" t="s">
        <v>450</v>
      </c>
      <c r="D8" s="89">
        <f>43099.1</f>
        <v>43099.1</v>
      </c>
      <c r="E8" s="90"/>
      <c r="F8" s="90"/>
    </row>
    <row r="9" spans="1:6" ht="22.5" customHeight="1" x14ac:dyDescent="0.2">
      <c r="A9" s="91">
        <v>2</v>
      </c>
      <c r="B9" s="64" t="s">
        <v>451</v>
      </c>
      <c r="C9" s="64" t="s">
        <v>433</v>
      </c>
      <c r="D9" s="92">
        <f>D10*D11+D12</f>
        <v>475000</v>
      </c>
      <c r="E9" s="90"/>
      <c r="F9" s="90"/>
    </row>
    <row r="10" spans="1:6" ht="24" customHeight="1" x14ac:dyDescent="0.2">
      <c r="A10" s="70" t="s">
        <v>452</v>
      </c>
      <c r="B10" s="68" t="s">
        <v>453</v>
      </c>
      <c r="C10" s="68" t="s">
        <v>25</v>
      </c>
      <c r="D10" s="70">
        <v>5</v>
      </c>
      <c r="E10" s="90"/>
      <c r="F10" s="446" t="s">
        <v>683</v>
      </c>
    </row>
    <row r="11" spans="1:6" ht="14.25" customHeight="1" x14ac:dyDescent="0.2">
      <c r="A11" s="70" t="s">
        <v>454</v>
      </c>
      <c r="B11" s="68" t="s">
        <v>455</v>
      </c>
      <c r="C11" s="68" t="s">
        <v>433</v>
      </c>
      <c r="D11" s="70">
        <v>95000</v>
      </c>
      <c r="E11" s="90"/>
      <c r="F11" s="90"/>
    </row>
    <row r="12" spans="1:6" ht="14.25" customHeight="1" x14ac:dyDescent="0.2">
      <c r="A12" s="70"/>
      <c r="B12" s="68"/>
      <c r="C12" s="68"/>
      <c r="D12" s="70"/>
      <c r="E12" s="90"/>
      <c r="F12" s="90"/>
    </row>
    <row r="13" spans="1:6" ht="14.25" customHeight="1" x14ac:dyDescent="0.2">
      <c r="A13" s="70"/>
      <c r="B13" s="68"/>
      <c r="C13" s="68"/>
      <c r="D13" s="70"/>
      <c r="E13" s="90"/>
      <c r="F13" s="90"/>
    </row>
    <row r="14" spans="1:6" ht="14.25" customHeight="1" x14ac:dyDescent="0.2">
      <c r="A14" s="93"/>
      <c r="B14" s="94"/>
      <c r="C14" s="94"/>
      <c r="D14" s="93"/>
      <c r="E14" s="90"/>
      <c r="F14" s="90"/>
    </row>
    <row r="15" spans="1:6" ht="15" customHeight="1" x14ac:dyDescent="0.2">
      <c r="A15" s="95">
        <v>4</v>
      </c>
      <c r="B15" s="75" t="s">
        <v>456</v>
      </c>
      <c r="C15" s="75" t="s">
        <v>433</v>
      </c>
      <c r="D15" s="95">
        <f>D9*E15</f>
        <v>57000</v>
      </c>
      <c r="E15" s="90">
        <v>0.12</v>
      </c>
      <c r="F15" s="90"/>
    </row>
    <row r="16" spans="1:6" ht="14.25" customHeight="1" x14ac:dyDescent="0.2">
      <c r="A16" s="486">
        <v>5</v>
      </c>
      <c r="B16" s="487" t="s">
        <v>457</v>
      </c>
      <c r="C16" s="61" t="s">
        <v>458</v>
      </c>
      <c r="D16" s="89">
        <f>D9+D13+D15</f>
        <v>532000</v>
      </c>
      <c r="E16" s="90"/>
      <c r="F16" s="90"/>
    </row>
    <row r="17" spans="1:6" ht="14.25" customHeight="1" x14ac:dyDescent="0.2">
      <c r="A17" s="480"/>
      <c r="B17" s="480"/>
      <c r="C17" s="77" t="s">
        <v>459</v>
      </c>
      <c r="D17" s="78">
        <f>D16/D10</f>
        <v>106400</v>
      </c>
      <c r="E17" s="90"/>
      <c r="F17" s="90"/>
    </row>
    <row r="18" spans="1:6" ht="15" customHeight="1" x14ac:dyDescent="0.2">
      <c r="A18" s="481"/>
      <c r="B18" s="481"/>
      <c r="C18" s="79" t="s">
        <v>460</v>
      </c>
      <c r="D18" s="80">
        <f>D16/D8</f>
        <v>12.343645226930493</v>
      </c>
      <c r="E18" s="90"/>
      <c r="F18" s="90"/>
    </row>
    <row r="19" spans="1:6" ht="14.25" customHeight="1" x14ac:dyDescent="0.2">
      <c r="A19" s="486">
        <v>6</v>
      </c>
      <c r="B19" s="487" t="s">
        <v>461</v>
      </c>
      <c r="C19" s="61" t="s">
        <v>458</v>
      </c>
      <c r="D19" s="89">
        <f t="shared" ref="D19:D21" si="0">D16*1.2</f>
        <v>638400</v>
      </c>
      <c r="E19" s="90"/>
      <c r="F19" s="90"/>
    </row>
    <row r="20" spans="1:6" ht="14.25" customHeight="1" x14ac:dyDescent="0.2">
      <c r="A20" s="480"/>
      <c r="B20" s="480"/>
      <c r="C20" s="77" t="s">
        <v>459</v>
      </c>
      <c r="D20" s="78">
        <f t="shared" si="0"/>
        <v>127680</v>
      </c>
      <c r="E20" s="90"/>
      <c r="F20" s="90"/>
    </row>
    <row r="21" spans="1:6" ht="41.5" customHeight="1" x14ac:dyDescent="0.2">
      <c r="A21" s="481"/>
      <c r="B21" s="481"/>
      <c r="C21" s="79" t="s">
        <v>460</v>
      </c>
      <c r="D21" s="80">
        <f t="shared" si="0"/>
        <v>14.812374272316591</v>
      </c>
      <c r="E21" s="90"/>
      <c r="F21" s="90" t="s">
        <v>682</v>
      </c>
    </row>
    <row r="22" spans="1:6" ht="14.25" customHeight="1" x14ac:dyDescent="0.2">
      <c r="A22" s="72"/>
      <c r="B22" s="83"/>
      <c r="C22" s="83"/>
      <c r="D22" s="83"/>
      <c r="E22" s="83"/>
      <c r="F22" s="83"/>
    </row>
    <row r="23" spans="1:6" ht="14.25" customHeight="1" x14ac:dyDescent="0.2">
      <c r="A23" s="96"/>
      <c r="B23" s="83"/>
      <c r="C23" s="83"/>
      <c r="D23" s="83"/>
      <c r="E23" s="58"/>
      <c r="F23" s="58"/>
    </row>
    <row r="24" spans="1:6" ht="14.25" customHeight="1" x14ac:dyDescent="0.2">
      <c r="A24" s="96"/>
      <c r="B24" s="83"/>
      <c r="C24" s="83"/>
      <c r="D24" s="83"/>
      <c r="E24" s="58"/>
      <c r="F24" s="58"/>
    </row>
    <row r="25" spans="1:6" ht="14.25" customHeight="1" x14ac:dyDescent="0.2">
      <c r="A25" s="96"/>
      <c r="B25" s="83"/>
      <c r="C25" s="83"/>
      <c r="D25" s="83"/>
      <c r="E25" s="58"/>
      <c r="F25" s="58"/>
    </row>
    <row r="26" spans="1:6" ht="14.25" customHeight="1" x14ac:dyDescent="0.2">
      <c r="A26" s="96"/>
      <c r="B26" s="83"/>
      <c r="C26" s="83"/>
      <c r="D26" s="83"/>
      <c r="E26" s="58"/>
      <c r="F26" s="58"/>
    </row>
    <row r="27" spans="1:6" ht="14.25" customHeight="1" x14ac:dyDescent="0.2">
      <c r="A27" s="96"/>
      <c r="B27" s="83"/>
      <c r="C27" s="83"/>
      <c r="D27" s="83"/>
      <c r="E27" s="58"/>
      <c r="F27" s="58"/>
    </row>
    <row r="28" spans="1:6" ht="14.25" customHeight="1" x14ac:dyDescent="0.2">
      <c r="A28" s="57"/>
      <c r="B28" s="58"/>
      <c r="C28" s="58"/>
      <c r="D28" s="58"/>
      <c r="E28" s="58"/>
      <c r="F28" s="58"/>
    </row>
    <row r="29" spans="1:6" ht="14.25" customHeight="1" x14ac:dyDescent="0.2">
      <c r="A29" s="57"/>
      <c r="B29" s="58"/>
      <c r="C29" s="58"/>
      <c r="D29" s="58"/>
      <c r="E29" s="58"/>
      <c r="F29" s="58"/>
    </row>
    <row r="30" spans="1:6" ht="14.25" customHeight="1" x14ac:dyDescent="0.2">
      <c r="A30" s="57"/>
      <c r="B30" s="56"/>
      <c r="C30" s="58"/>
      <c r="D30" s="58"/>
      <c r="E30" s="88"/>
      <c r="F30" s="88"/>
    </row>
    <row r="31" spans="1:6" ht="14.25" customHeight="1" x14ac:dyDescent="0.2">
      <c r="A31" s="57"/>
      <c r="B31" s="56"/>
      <c r="C31" s="56"/>
      <c r="D31" s="56"/>
      <c r="E31" s="88"/>
      <c r="F31" s="88"/>
    </row>
    <row r="32" spans="1:6" ht="14.25" customHeight="1" x14ac:dyDescent="0.2">
      <c r="A32" s="57"/>
      <c r="B32" s="56"/>
      <c r="C32" s="56"/>
      <c r="D32" s="56"/>
      <c r="E32" s="88"/>
      <c r="F32" s="88"/>
    </row>
    <row r="33" spans="1:6" ht="14.25" customHeight="1" x14ac:dyDescent="0.2">
      <c r="A33" s="57"/>
      <c r="B33" s="56"/>
      <c r="C33" s="56"/>
      <c r="D33" s="56"/>
      <c r="E33" s="88"/>
      <c r="F33" s="88"/>
    </row>
    <row r="34" spans="1:6" ht="14.25" customHeight="1" x14ac:dyDescent="0.2">
      <c r="A34" s="57"/>
      <c r="B34" s="56"/>
      <c r="C34" s="56"/>
      <c r="D34" s="56"/>
      <c r="E34" s="88"/>
      <c r="F34" s="88"/>
    </row>
    <row r="35" spans="1:6" ht="14.25" customHeight="1" x14ac:dyDescent="0.2">
      <c r="A35" s="57"/>
      <c r="B35" s="56"/>
      <c r="C35" s="56"/>
      <c r="D35" s="56"/>
      <c r="E35" s="88"/>
      <c r="F35" s="88"/>
    </row>
    <row r="36" spans="1:6" ht="14.25" customHeight="1" x14ac:dyDescent="0.2">
      <c r="A36" s="57"/>
      <c r="B36" s="56"/>
      <c r="C36" s="56"/>
      <c r="D36" s="56"/>
      <c r="E36" s="88"/>
      <c r="F36" s="88"/>
    </row>
    <row r="37" spans="1:6" ht="14.25" customHeight="1" x14ac:dyDescent="0.2">
      <c r="A37" s="57"/>
      <c r="B37" s="56"/>
      <c r="C37" s="56"/>
      <c r="D37" s="56"/>
      <c r="E37" s="88"/>
      <c r="F37" s="88"/>
    </row>
    <row r="38" spans="1:6" ht="14.25" customHeight="1" x14ac:dyDescent="0.2">
      <c r="A38" s="57"/>
      <c r="B38" s="56"/>
      <c r="C38" s="56"/>
      <c r="D38" s="56"/>
      <c r="E38" s="88"/>
      <c r="F38" s="88"/>
    </row>
    <row r="39" spans="1:6" ht="14.25" customHeight="1" x14ac:dyDescent="0.2">
      <c r="A39" s="57"/>
      <c r="B39" s="56"/>
      <c r="C39" s="56"/>
      <c r="D39" s="56"/>
      <c r="E39" s="88"/>
      <c r="F39" s="88"/>
    </row>
    <row r="40" spans="1:6" ht="14.25" customHeight="1" x14ac:dyDescent="0.2">
      <c r="A40" s="57"/>
      <c r="B40" s="56"/>
      <c r="C40" s="56"/>
      <c r="D40" s="56"/>
      <c r="E40" s="88"/>
      <c r="F40" s="88"/>
    </row>
    <row r="41" spans="1:6" ht="14.25" customHeight="1" x14ac:dyDescent="0.2">
      <c r="A41" s="57"/>
      <c r="B41" s="56"/>
      <c r="C41" s="56"/>
      <c r="D41" s="56"/>
      <c r="E41" s="88"/>
      <c r="F41" s="88"/>
    </row>
    <row r="42" spans="1:6" ht="14.25" customHeight="1" x14ac:dyDescent="0.2">
      <c r="A42" s="57"/>
      <c r="B42" s="56"/>
      <c r="C42" s="56"/>
      <c r="D42" s="56"/>
      <c r="E42" s="88"/>
      <c r="F42" s="88"/>
    </row>
    <row r="43" spans="1:6" ht="14.25" customHeight="1" x14ac:dyDescent="0.2">
      <c r="A43" s="57"/>
      <c r="B43" s="56"/>
      <c r="C43" s="56"/>
      <c r="D43" s="56"/>
      <c r="E43" s="88"/>
      <c r="F43" s="88"/>
    </row>
    <row r="44" spans="1:6" ht="14.25" customHeight="1" x14ac:dyDescent="0.2">
      <c r="A44" s="57"/>
      <c r="B44" s="56"/>
      <c r="C44" s="56"/>
      <c r="D44" s="56"/>
      <c r="E44" s="88"/>
      <c r="F44" s="88"/>
    </row>
    <row r="45" spans="1:6" ht="14.25" customHeight="1" x14ac:dyDescent="0.2">
      <c r="A45" s="57"/>
      <c r="B45" s="56"/>
      <c r="C45" s="56"/>
      <c r="D45" s="56"/>
      <c r="E45" s="88"/>
      <c r="F45" s="88"/>
    </row>
    <row r="46" spans="1:6" ht="14.25" customHeight="1" x14ac:dyDescent="0.2">
      <c r="A46" s="86"/>
      <c r="B46" s="85"/>
      <c r="C46" s="85"/>
      <c r="D46" s="85"/>
      <c r="E46" s="97"/>
      <c r="F46" s="97"/>
    </row>
    <row r="47" spans="1:6" ht="14.25" customHeight="1" x14ac:dyDescent="0.2">
      <c r="A47" s="86"/>
      <c r="B47" s="85"/>
      <c r="C47" s="85"/>
      <c r="D47" s="85"/>
      <c r="E47" s="97"/>
      <c r="F47" s="97"/>
    </row>
    <row r="48" spans="1:6" ht="14.25" customHeight="1" x14ac:dyDescent="0.2">
      <c r="A48" s="86"/>
      <c r="B48" s="85"/>
      <c r="C48" s="85"/>
      <c r="D48" s="85"/>
      <c r="E48" s="97"/>
      <c r="F48" s="97"/>
    </row>
    <row r="49" spans="1:6" ht="14.25" customHeight="1" x14ac:dyDescent="0.2">
      <c r="A49" s="86"/>
      <c r="B49" s="85"/>
      <c r="C49" s="85"/>
      <c r="D49" s="85"/>
      <c r="E49" s="97"/>
      <c r="F49" s="97"/>
    </row>
    <row r="50" spans="1:6" ht="14.25" customHeight="1" x14ac:dyDescent="0.2">
      <c r="A50" s="86"/>
      <c r="B50" s="85"/>
      <c r="C50" s="85"/>
      <c r="D50" s="85"/>
      <c r="E50" s="97"/>
      <c r="F50" s="97"/>
    </row>
    <row r="51" spans="1:6" ht="14.25" customHeight="1" x14ac:dyDescent="0.2">
      <c r="A51" s="86"/>
      <c r="B51" s="85"/>
      <c r="C51" s="85"/>
      <c r="D51" s="85"/>
      <c r="E51" s="97"/>
      <c r="F51" s="97"/>
    </row>
    <row r="52" spans="1:6" ht="14.25" customHeight="1" x14ac:dyDescent="0.2">
      <c r="A52" s="86"/>
      <c r="B52" s="85"/>
      <c r="C52" s="85"/>
      <c r="D52" s="85"/>
      <c r="E52" s="97"/>
      <c r="F52" s="97"/>
    </row>
    <row r="53" spans="1:6" ht="14.25" customHeight="1" x14ac:dyDescent="0.2">
      <c r="A53" s="86"/>
      <c r="B53" s="85"/>
      <c r="C53" s="85"/>
      <c r="D53" s="85"/>
      <c r="E53" s="97"/>
      <c r="F53" s="97"/>
    </row>
    <row r="54" spans="1:6" ht="14.25" customHeight="1" x14ac:dyDescent="0.2">
      <c r="A54" s="86"/>
      <c r="B54" s="85"/>
      <c r="C54" s="85"/>
      <c r="D54" s="85"/>
      <c r="E54" s="97"/>
      <c r="F54" s="97"/>
    </row>
    <row r="55" spans="1:6" ht="14.25" customHeight="1" x14ac:dyDescent="0.2">
      <c r="A55" s="86"/>
      <c r="B55" s="85"/>
      <c r="C55" s="85"/>
      <c r="D55" s="85"/>
      <c r="E55" s="97"/>
      <c r="F55" s="97"/>
    </row>
    <row r="56" spans="1:6" ht="14.25" customHeight="1" x14ac:dyDescent="0.2">
      <c r="A56" s="86"/>
      <c r="B56" s="85"/>
      <c r="C56" s="85"/>
      <c r="D56" s="85"/>
      <c r="E56" s="97"/>
      <c r="F56" s="97"/>
    </row>
    <row r="57" spans="1:6" ht="14.25" customHeight="1" x14ac:dyDescent="0.2">
      <c r="A57" s="86"/>
      <c r="B57" s="85"/>
      <c r="C57" s="85"/>
      <c r="D57" s="85"/>
      <c r="E57" s="97"/>
      <c r="F57" s="97"/>
    </row>
    <row r="58" spans="1:6" ht="14.25" customHeight="1" x14ac:dyDescent="0.2">
      <c r="A58" s="86"/>
      <c r="B58" s="85"/>
      <c r="C58" s="85"/>
      <c r="D58" s="85"/>
      <c r="E58" s="97"/>
      <c r="F58" s="97"/>
    </row>
    <row r="59" spans="1:6" ht="14.25" customHeight="1" x14ac:dyDescent="0.2">
      <c r="A59" s="86"/>
      <c r="B59" s="85"/>
      <c r="C59" s="85"/>
      <c r="D59" s="85"/>
      <c r="E59" s="97"/>
      <c r="F59" s="97"/>
    </row>
    <row r="60" spans="1:6" ht="14.25" customHeight="1" x14ac:dyDescent="0.2">
      <c r="A60" s="86"/>
      <c r="B60" s="85"/>
      <c r="C60" s="85"/>
      <c r="D60" s="85"/>
      <c r="E60" s="97"/>
      <c r="F60" s="97"/>
    </row>
    <row r="61" spans="1:6" ht="14.25" customHeight="1" x14ac:dyDescent="0.2">
      <c r="A61" s="86"/>
      <c r="B61" s="85"/>
      <c r="C61" s="85"/>
      <c r="D61" s="85"/>
      <c r="E61" s="97"/>
      <c r="F61" s="97"/>
    </row>
    <row r="62" spans="1:6" ht="14.25" customHeight="1" x14ac:dyDescent="0.2">
      <c r="A62" s="86"/>
      <c r="B62" s="85"/>
      <c r="C62" s="85"/>
      <c r="D62" s="85"/>
      <c r="E62" s="97"/>
      <c r="F62" s="97"/>
    </row>
    <row r="63" spans="1:6" ht="14.25" customHeight="1" x14ac:dyDescent="0.2">
      <c r="A63" s="86"/>
      <c r="B63" s="85"/>
      <c r="C63" s="85"/>
      <c r="D63" s="85"/>
      <c r="E63" s="97"/>
      <c r="F63" s="97"/>
    </row>
    <row r="64" spans="1:6" ht="14.25" customHeight="1" x14ac:dyDescent="0.2">
      <c r="A64" s="86"/>
      <c r="B64" s="85"/>
      <c r="C64" s="85"/>
      <c r="D64" s="85"/>
      <c r="E64" s="97"/>
      <c r="F64" s="97"/>
    </row>
    <row r="65" spans="1:6" ht="14.25" customHeight="1" x14ac:dyDescent="0.2">
      <c r="A65" s="86"/>
      <c r="B65" s="85"/>
      <c r="C65" s="85"/>
      <c r="D65" s="85"/>
      <c r="E65" s="97"/>
      <c r="F65" s="97"/>
    </row>
    <row r="66" spans="1:6" ht="14.25" customHeight="1" x14ac:dyDescent="0.2">
      <c r="A66" s="86"/>
      <c r="B66" s="85"/>
      <c r="C66" s="85"/>
      <c r="D66" s="85"/>
      <c r="E66" s="97"/>
      <c r="F66" s="97"/>
    </row>
    <row r="67" spans="1:6" ht="14.25" customHeight="1" x14ac:dyDescent="0.2">
      <c r="A67" s="86"/>
      <c r="B67" s="85"/>
      <c r="C67" s="85"/>
      <c r="D67" s="85"/>
      <c r="E67" s="97"/>
      <c r="F67" s="97"/>
    </row>
    <row r="68" spans="1:6" ht="14.25" customHeight="1" x14ac:dyDescent="0.2">
      <c r="A68" s="86"/>
      <c r="B68" s="85"/>
      <c r="C68" s="85"/>
      <c r="D68" s="85"/>
      <c r="E68" s="97"/>
      <c r="F68" s="97"/>
    </row>
    <row r="69" spans="1:6" ht="14.25" customHeight="1" x14ac:dyDescent="0.2">
      <c r="A69" s="86"/>
      <c r="B69" s="85"/>
      <c r="C69" s="85"/>
      <c r="D69" s="85"/>
      <c r="E69" s="97"/>
      <c r="F69" s="97"/>
    </row>
    <row r="70" spans="1:6" ht="14.25" customHeight="1" x14ac:dyDescent="0.2">
      <c r="A70" s="86"/>
      <c r="B70" s="85"/>
      <c r="C70" s="85"/>
      <c r="D70" s="85"/>
      <c r="E70" s="97"/>
      <c r="F70" s="97"/>
    </row>
    <row r="71" spans="1:6" ht="14.25" customHeight="1" x14ac:dyDescent="0.2">
      <c r="A71" s="86"/>
      <c r="B71" s="85"/>
      <c r="C71" s="85"/>
      <c r="D71" s="85"/>
      <c r="E71" s="97"/>
      <c r="F71" s="97"/>
    </row>
    <row r="72" spans="1:6" ht="14.25" customHeight="1" x14ac:dyDescent="0.2">
      <c r="A72" s="86"/>
      <c r="B72" s="85"/>
      <c r="C72" s="85"/>
      <c r="D72" s="85"/>
      <c r="E72" s="97"/>
      <c r="F72" s="97"/>
    </row>
    <row r="73" spans="1:6" ht="14.25" customHeight="1" x14ac:dyDescent="0.2">
      <c r="A73" s="86"/>
      <c r="B73" s="85"/>
      <c r="C73" s="85"/>
      <c r="D73" s="85"/>
      <c r="E73" s="97"/>
      <c r="F73" s="97"/>
    </row>
    <row r="74" spans="1:6" ht="14.25" customHeight="1" x14ac:dyDescent="0.2">
      <c r="A74" s="86"/>
      <c r="B74" s="85"/>
      <c r="C74" s="85"/>
      <c r="D74" s="85"/>
      <c r="E74" s="97"/>
      <c r="F74" s="97"/>
    </row>
    <row r="75" spans="1:6" ht="14.25" customHeight="1" x14ac:dyDescent="0.2">
      <c r="A75" s="86"/>
      <c r="B75" s="85"/>
      <c r="C75" s="85"/>
      <c r="D75" s="85"/>
      <c r="E75" s="97"/>
      <c r="F75" s="97"/>
    </row>
    <row r="76" spans="1:6" ht="14.25" customHeight="1" x14ac:dyDescent="0.2">
      <c r="A76" s="86"/>
      <c r="B76" s="85"/>
      <c r="C76" s="85"/>
      <c r="D76" s="85"/>
      <c r="E76" s="97"/>
      <c r="F76" s="97"/>
    </row>
    <row r="77" spans="1:6" ht="14.25" customHeight="1" x14ac:dyDescent="0.2">
      <c r="A77" s="86"/>
      <c r="B77" s="85"/>
      <c r="C77" s="85"/>
      <c r="D77" s="85"/>
      <c r="E77" s="97"/>
      <c r="F77" s="97"/>
    </row>
    <row r="78" spans="1:6" ht="14.25" customHeight="1" x14ac:dyDescent="0.2">
      <c r="A78" s="86"/>
      <c r="B78" s="85"/>
      <c r="C78" s="85"/>
      <c r="D78" s="85"/>
      <c r="E78" s="97"/>
      <c r="F78" s="97"/>
    </row>
    <row r="79" spans="1:6" ht="14.25" customHeight="1" x14ac:dyDescent="0.2">
      <c r="A79" s="86"/>
      <c r="B79" s="85"/>
      <c r="C79" s="85"/>
      <c r="D79" s="85"/>
      <c r="E79" s="97"/>
      <c r="F79" s="97"/>
    </row>
    <row r="80" spans="1:6" ht="14.25" customHeight="1" x14ac:dyDescent="0.2">
      <c r="A80" s="86"/>
      <c r="B80" s="85"/>
      <c r="C80" s="85"/>
      <c r="D80" s="85"/>
      <c r="E80" s="97"/>
      <c r="F80" s="97"/>
    </row>
    <row r="81" spans="1:6" ht="14.25" customHeight="1" x14ac:dyDescent="0.2">
      <c r="A81" s="86"/>
      <c r="B81" s="85"/>
      <c r="C81" s="85"/>
      <c r="D81" s="85"/>
      <c r="E81" s="97"/>
      <c r="F81" s="97"/>
    </row>
    <row r="82" spans="1:6" ht="14.25" customHeight="1" x14ac:dyDescent="0.2">
      <c r="A82" s="86"/>
      <c r="B82" s="85"/>
      <c r="C82" s="85"/>
      <c r="D82" s="85"/>
      <c r="E82" s="97"/>
      <c r="F82" s="97"/>
    </row>
    <row r="83" spans="1:6" ht="14.25" customHeight="1" x14ac:dyDescent="0.2">
      <c r="A83" s="86"/>
      <c r="B83" s="85"/>
      <c r="C83" s="85"/>
      <c r="D83" s="85"/>
      <c r="E83" s="97"/>
      <c r="F83" s="97"/>
    </row>
    <row r="84" spans="1:6" ht="14.25" customHeight="1" x14ac:dyDescent="0.2">
      <c r="A84" s="86"/>
      <c r="B84" s="85"/>
      <c r="C84" s="85"/>
      <c r="D84" s="85"/>
      <c r="E84" s="97"/>
      <c r="F84" s="97"/>
    </row>
    <row r="85" spans="1:6" ht="14.25" customHeight="1" x14ac:dyDescent="0.2">
      <c r="A85" s="86"/>
      <c r="B85" s="85"/>
      <c r="C85" s="85"/>
      <c r="D85" s="85"/>
      <c r="E85" s="97"/>
      <c r="F85" s="97"/>
    </row>
    <row r="86" spans="1:6" ht="14.25" customHeight="1" x14ac:dyDescent="0.2">
      <c r="A86" s="86"/>
      <c r="B86" s="85"/>
      <c r="C86" s="85"/>
      <c r="D86" s="85"/>
      <c r="E86" s="97"/>
      <c r="F86" s="97"/>
    </row>
    <row r="87" spans="1:6" ht="14.25" customHeight="1" x14ac:dyDescent="0.2">
      <c r="A87" s="86"/>
      <c r="B87" s="85"/>
      <c r="C87" s="85"/>
      <c r="D87" s="85"/>
      <c r="E87" s="97"/>
      <c r="F87" s="97"/>
    </row>
    <row r="88" spans="1:6" ht="14.25" customHeight="1" x14ac:dyDescent="0.2">
      <c r="A88" s="86"/>
      <c r="B88" s="85"/>
      <c r="C88" s="85"/>
      <c r="D88" s="85"/>
      <c r="E88" s="97"/>
      <c r="F88" s="97"/>
    </row>
    <row r="89" spans="1:6" ht="14.25" customHeight="1" x14ac:dyDescent="0.2">
      <c r="A89" s="86"/>
      <c r="B89" s="85"/>
      <c r="C89" s="85"/>
      <c r="D89" s="85"/>
      <c r="E89" s="97"/>
      <c r="F89" s="97"/>
    </row>
    <row r="90" spans="1:6" ht="14.25" customHeight="1" x14ac:dyDescent="0.2">
      <c r="A90" s="86"/>
      <c r="B90" s="85"/>
      <c r="C90" s="85"/>
      <c r="D90" s="85"/>
      <c r="E90" s="97"/>
      <c r="F90" s="97"/>
    </row>
    <row r="91" spans="1:6" ht="14.25" customHeight="1" x14ac:dyDescent="0.2">
      <c r="A91" s="86"/>
      <c r="B91" s="85"/>
      <c r="C91" s="85"/>
      <c r="D91" s="85"/>
      <c r="E91" s="97"/>
      <c r="F91" s="97"/>
    </row>
    <row r="92" spans="1:6" ht="14.25" customHeight="1" x14ac:dyDescent="0.2">
      <c r="A92" s="86"/>
      <c r="B92" s="85"/>
      <c r="C92" s="85"/>
      <c r="D92" s="85"/>
      <c r="E92" s="97"/>
      <c r="F92" s="97"/>
    </row>
    <row r="93" spans="1:6" ht="14.25" customHeight="1" x14ac:dyDescent="0.2">
      <c r="A93" s="86"/>
      <c r="B93" s="85"/>
      <c r="C93" s="85"/>
      <c r="D93" s="85"/>
      <c r="E93" s="97"/>
      <c r="F93" s="97"/>
    </row>
    <row r="94" spans="1:6" ht="14.25" customHeight="1" x14ac:dyDescent="0.2">
      <c r="A94" s="86"/>
      <c r="B94" s="85"/>
      <c r="C94" s="85"/>
      <c r="D94" s="85"/>
      <c r="E94" s="97"/>
      <c r="F94" s="97"/>
    </row>
    <row r="95" spans="1:6" ht="14.25" customHeight="1" x14ac:dyDescent="0.2">
      <c r="A95" s="86"/>
      <c r="B95" s="85"/>
      <c r="C95" s="85"/>
      <c r="D95" s="85"/>
      <c r="E95" s="97"/>
      <c r="F95" s="97"/>
    </row>
    <row r="96" spans="1:6" ht="14.25" customHeight="1" x14ac:dyDescent="0.2">
      <c r="A96" s="86"/>
      <c r="B96" s="85"/>
      <c r="C96" s="85"/>
      <c r="D96" s="85"/>
      <c r="E96" s="97"/>
      <c r="F96" s="97"/>
    </row>
    <row r="97" spans="1:6" ht="14.25" customHeight="1" x14ac:dyDescent="0.2">
      <c r="A97" s="86"/>
      <c r="B97" s="85"/>
      <c r="C97" s="85"/>
      <c r="D97" s="85"/>
      <c r="E97" s="97"/>
      <c r="F97" s="97"/>
    </row>
    <row r="98" spans="1:6" ht="14.25" customHeight="1" x14ac:dyDescent="0.2">
      <c r="A98" s="86"/>
      <c r="B98" s="85"/>
      <c r="C98" s="85"/>
      <c r="D98" s="85"/>
      <c r="E98" s="97"/>
      <c r="F98" s="97"/>
    </row>
    <row r="99" spans="1:6" ht="14.25" customHeight="1" x14ac:dyDescent="0.2">
      <c r="A99" s="86"/>
      <c r="B99" s="85"/>
      <c r="C99" s="85"/>
      <c r="D99" s="85"/>
      <c r="E99" s="97"/>
      <c r="F99" s="97"/>
    </row>
    <row r="100" spans="1:6" ht="14.25" customHeight="1" x14ac:dyDescent="0.2">
      <c r="A100" s="86"/>
      <c r="B100" s="85"/>
      <c r="C100" s="85"/>
      <c r="D100" s="85"/>
      <c r="E100" s="97"/>
      <c r="F100" s="97"/>
    </row>
  </sheetData>
  <mergeCells count="7">
    <mergeCell ref="A16:A18"/>
    <mergeCell ref="B16:B18"/>
    <mergeCell ref="A19:A21"/>
    <mergeCell ref="B19:B21"/>
    <mergeCell ref="A3:D3"/>
    <mergeCell ref="A4:D4"/>
    <mergeCell ref="A5:D5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08000"/>
  </sheetPr>
  <dimension ref="B1:I100"/>
  <sheetViews>
    <sheetView workbookViewId="0">
      <selection activeCell="E27" sqref="E27"/>
    </sheetView>
  </sheetViews>
  <sheetFormatPr baseColWidth="10" defaultColWidth="14.5" defaultRowHeight="15" customHeight="1" x14ac:dyDescent="0.2"/>
  <cols>
    <col min="1" max="1" width="8" customWidth="1"/>
    <col min="2" max="2" width="6.83203125" customWidth="1"/>
    <col min="3" max="3" width="9.1640625" customWidth="1"/>
    <col min="4" max="4" width="32.33203125" customWidth="1"/>
    <col min="5" max="5" width="12.33203125" customWidth="1"/>
    <col min="6" max="6" width="16" customWidth="1"/>
    <col min="7" max="7" width="9.5" customWidth="1"/>
    <col min="8" max="8" width="10.5" customWidth="1"/>
    <col min="9" max="11" width="8" customWidth="1"/>
  </cols>
  <sheetData>
    <row r="1" spans="2:8" ht="14.25" customHeight="1" x14ac:dyDescent="0.2">
      <c r="B1" s="56"/>
      <c r="C1" s="57"/>
      <c r="D1" s="56"/>
      <c r="E1" s="56"/>
      <c r="F1" s="56"/>
      <c r="G1" s="88"/>
    </row>
    <row r="2" spans="2:8" ht="14.25" customHeight="1" x14ac:dyDescent="0.2">
      <c r="B2" s="56"/>
      <c r="C2" s="57"/>
      <c r="D2" s="56"/>
      <c r="E2" s="56"/>
      <c r="F2" s="56"/>
      <c r="G2" s="88"/>
    </row>
    <row r="3" spans="2:8" ht="14.25" customHeight="1" x14ac:dyDescent="0.2">
      <c r="B3" s="56"/>
      <c r="C3" s="483" t="s">
        <v>417</v>
      </c>
      <c r="D3" s="453"/>
      <c r="E3" s="453"/>
      <c r="F3" s="453"/>
      <c r="G3" s="88"/>
    </row>
    <row r="4" spans="2:8" ht="14.25" customHeight="1" x14ac:dyDescent="0.2">
      <c r="B4" s="56"/>
      <c r="C4" s="488" t="s">
        <v>418</v>
      </c>
      <c r="D4" s="453"/>
      <c r="E4" s="453"/>
      <c r="F4" s="453"/>
      <c r="G4" s="88"/>
    </row>
    <row r="5" spans="2:8" ht="14.25" customHeight="1" x14ac:dyDescent="0.2">
      <c r="B5" s="56"/>
      <c r="C5" s="489" t="s">
        <v>462</v>
      </c>
      <c r="D5" s="453"/>
      <c r="E5" s="453"/>
      <c r="F5" s="453"/>
      <c r="G5" s="88"/>
    </row>
    <row r="6" spans="2:8" ht="15" customHeight="1" x14ac:dyDescent="0.2">
      <c r="B6" s="56"/>
      <c r="C6" s="57"/>
      <c r="D6" s="56"/>
      <c r="E6" s="56"/>
      <c r="F6" s="56"/>
      <c r="G6" s="88"/>
    </row>
    <row r="7" spans="2:8" ht="23.25" customHeight="1" x14ac:dyDescent="0.2">
      <c r="B7" s="56"/>
      <c r="C7" s="59" t="s">
        <v>422</v>
      </c>
      <c r="D7" s="60" t="s">
        <v>423</v>
      </c>
      <c r="E7" s="61" t="s">
        <v>424</v>
      </c>
      <c r="F7" s="62" t="s">
        <v>448</v>
      </c>
      <c r="G7" s="88"/>
    </row>
    <row r="8" spans="2:8" ht="34.5" customHeight="1" x14ac:dyDescent="0.2">
      <c r="B8" s="72"/>
      <c r="C8" s="59">
        <v>1</v>
      </c>
      <c r="D8" s="60" t="s">
        <v>449</v>
      </c>
      <c r="E8" s="61" t="s">
        <v>450</v>
      </c>
      <c r="F8" s="89">
        <f>43099.1</f>
        <v>43099.1</v>
      </c>
      <c r="G8" s="90"/>
    </row>
    <row r="9" spans="2:8" ht="22.5" customHeight="1" x14ac:dyDescent="0.2">
      <c r="B9" s="72"/>
      <c r="C9" s="91">
        <v>2</v>
      </c>
      <c r="D9" s="64" t="s">
        <v>451</v>
      </c>
      <c r="E9" s="64" t="s">
        <v>433</v>
      </c>
      <c r="F9" s="92">
        <f>F10*F11+F12</f>
        <v>236000</v>
      </c>
      <c r="G9" s="90"/>
    </row>
    <row r="10" spans="2:8" ht="14.25" customHeight="1" x14ac:dyDescent="0.2">
      <c r="B10" s="66"/>
      <c r="C10" s="70" t="s">
        <v>452</v>
      </c>
      <c r="D10" s="68" t="s">
        <v>463</v>
      </c>
      <c r="E10" s="68" t="s">
        <v>25</v>
      </c>
      <c r="F10" s="70">
        <v>4</v>
      </c>
      <c r="G10" s="90"/>
      <c r="H10" t="s">
        <v>675</v>
      </c>
    </row>
    <row r="11" spans="2:8" ht="14.25" customHeight="1" x14ac:dyDescent="0.2">
      <c r="B11" s="66"/>
      <c r="C11" s="70" t="s">
        <v>454</v>
      </c>
      <c r="D11" s="68" t="s">
        <v>455</v>
      </c>
      <c r="E11" s="68" t="s">
        <v>433</v>
      </c>
      <c r="F11" s="70">
        <v>59000</v>
      </c>
      <c r="G11" s="90"/>
      <c r="H11">
        <f>30000*1.302*1.2*1.05*1.2</f>
        <v>59058.719999999994</v>
      </c>
    </row>
    <row r="12" spans="2:8" ht="14.25" customHeight="1" x14ac:dyDescent="0.2">
      <c r="B12" s="66"/>
      <c r="C12" s="70"/>
      <c r="D12" s="68"/>
      <c r="E12" s="68"/>
      <c r="F12" s="70"/>
      <c r="G12" s="90"/>
    </row>
    <row r="13" spans="2:8" ht="14.25" customHeight="1" x14ac:dyDescent="0.2">
      <c r="B13" s="72"/>
      <c r="C13" s="70"/>
      <c r="D13" s="68"/>
      <c r="E13" s="68"/>
      <c r="F13" s="70"/>
      <c r="G13" s="90"/>
    </row>
    <row r="14" spans="2:8" ht="14.25" customHeight="1" x14ac:dyDescent="0.2">
      <c r="B14" s="56"/>
      <c r="C14" s="93"/>
      <c r="D14" s="94"/>
      <c r="E14" s="94"/>
      <c r="F14" s="93"/>
      <c r="G14" s="90"/>
    </row>
    <row r="15" spans="2:8" ht="15" customHeight="1" x14ac:dyDescent="0.2">
      <c r="B15" s="72"/>
      <c r="C15" s="95">
        <v>4</v>
      </c>
      <c r="D15" s="75" t="s">
        <v>456</v>
      </c>
      <c r="E15" s="75" t="s">
        <v>433</v>
      </c>
      <c r="F15" s="95">
        <f>F9*G15</f>
        <v>28320</v>
      </c>
      <c r="G15" s="90">
        <v>0.12</v>
      </c>
    </row>
    <row r="16" spans="2:8" ht="14.25" customHeight="1" x14ac:dyDescent="0.2">
      <c r="B16" s="72"/>
      <c r="C16" s="486">
        <v>5</v>
      </c>
      <c r="D16" s="487" t="s">
        <v>461</v>
      </c>
      <c r="E16" s="61" t="s">
        <v>458</v>
      </c>
      <c r="F16" s="89">
        <f>F9+F13+F15</f>
        <v>264320</v>
      </c>
      <c r="G16" s="90"/>
      <c r="H16">
        <f>H11*F10</f>
        <v>236234.87999999998</v>
      </c>
    </row>
    <row r="17" spans="2:9" ht="14.25" customHeight="1" x14ac:dyDescent="0.2">
      <c r="B17" s="72"/>
      <c r="C17" s="480"/>
      <c r="D17" s="480"/>
      <c r="E17" s="77" t="s">
        <v>459</v>
      </c>
      <c r="F17" s="78">
        <f>F16/F10</f>
        <v>66080</v>
      </c>
      <c r="G17" s="90"/>
    </row>
    <row r="18" spans="2:9" ht="15" customHeight="1" x14ac:dyDescent="0.2">
      <c r="B18" s="72"/>
      <c r="C18" s="481"/>
      <c r="D18" s="481"/>
      <c r="E18" s="79" t="s">
        <v>460</v>
      </c>
      <c r="F18" s="80">
        <f>F16/F8</f>
        <v>6.1328426811696763</v>
      </c>
      <c r="G18" s="90"/>
      <c r="H18">
        <f>H16/F8</f>
        <v>5.4812021596738676</v>
      </c>
      <c r="I18" t="s">
        <v>676</v>
      </c>
    </row>
    <row r="19" spans="2:9" ht="14.25" customHeight="1" x14ac:dyDescent="0.2">
      <c r="B19" s="72"/>
      <c r="C19" s="72"/>
      <c r="D19" s="83"/>
      <c r="E19" s="83"/>
      <c r="F19" s="83"/>
      <c r="G19" s="83"/>
    </row>
    <row r="20" spans="2:9" ht="14.25" customHeight="1" x14ac:dyDescent="0.2">
      <c r="B20" s="56"/>
      <c r="C20" s="57"/>
      <c r="D20" s="58"/>
      <c r="E20" s="58"/>
      <c r="F20" s="58"/>
      <c r="G20" s="58"/>
    </row>
    <row r="21" spans="2:9" ht="14.25" customHeight="1" x14ac:dyDescent="0.2">
      <c r="B21" s="88"/>
      <c r="C21" s="96"/>
      <c r="D21" s="83"/>
      <c r="E21" s="83"/>
      <c r="F21" s="83"/>
      <c r="G21" s="58"/>
    </row>
    <row r="22" spans="2:9" ht="14.25" customHeight="1" x14ac:dyDescent="0.2">
      <c r="B22" s="88"/>
      <c r="C22" s="96"/>
      <c r="D22" s="83"/>
      <c r="E22" s="83"/>
      <c r="F22" s="83"/>
      <c r="G22" s="58"/>
    </row>
    <row r="23" spans="2:9" ht="14.25" customHeight="1" x14ac:dyDescent="0.2">
      <c r="B23" s="88"/>
      <c r="C23" s="96"/>
      <c r="D23" s="83"/>
      <c r="E23" s="83"/>
      <c r="F23" s="83"/>
      <c r="G23" s="58"/>
    </row>
    <row r="24" spans="2:9" ht="14.25" customHeight="1" x14ac:dyDescent="0.2">
      <c r="B24" s="88"/>
      <c r="C24" s="96"/>
      <c r="D24" s="83"/>
      <c r="E24" s="83"/>
      <c r="F24" s="83"/>
      <c r="G24" s="58"/>
    </row>
    <row r="25" spans="2:9" ht="14.25" customHeight="1" x14ac:dyDescent="0.2">
      <c r="B25" s="88"/>
      <c r="C25" s="96"/>
      <c r="D25" s="83"/>
      <c r="E25" s="83"/>
      <c r="F25" s="83"/>
      <c r="G25" s="58"/>
    </row>
    <row r="26" spans="2:9" ht="14.25" customHeight="1" x14ac:dyDescent="0.2">
      <c r="B26" s="56"/>
      <c r="C26" s="57"/>
      <c r="D26" s="58"/>
      <c r="E26" s="58"/>
      <c r="F26" s="58"/>
      <c r="G26" s="58"/>
    </row>
    <row r="27" spans="2:9" ht="14.25" customHeight="1" x14ac:dyDescent="0.2">
      <c r="B27" s="56"/>
      <c r="C27" s="57"/>
      <c r="D27" s="58"/>
      <c r="E27" s="58"/>
      <c r="F27" s="58"/>
      <c r="G27" s="58"/>
    </row>
    <row r="28" spans="2:9" ht="14.25" customHeight="1" x14ac:dyDescent="0.2">
      <c r="B28" s="56"/>
      <c r="C28" s="57"/>
      <c r="D28" s="56"/>
      <c r="E28" s="58"/>
      <c r="F28" s="58"/>
      <c r="G28" s="88"/>
    </row>
    <row r="29" spans="2:9" ht="14.25" customHeight="1" x14ac:dyDescent="0.2">
      <c r="B29" s="56"/>
      <c r="C29" s="57"/>
      <c r="D29" s="56"/>
      <c r="E29" s="56"/>
      <c r="F29" s="56"/>
      <c r="G29" s="88"/>
    </row>
    <row r="30" spans="2:9" ht="14.25" customHeight="1" x14ac:dyDescent="0.2">
      <c r="B30" s="56"/>
      <c r="C30" s="57"/>
      <c r="D30" s="56"/>
      <c r="E30" s="56"/>
      <c r="F30" s="56"/>
      <c r="G30" s="88"/>
    </row>
    <row r="31" spans="2:9" ht="14.25" customHeight="1" x14ac:dyDescent="0.2">
      <c r="B31" s="56"/>
      <c r="C31" s="57"/>
      <c r="D31" s="56"/>
      <c r="E31" s="56"/>
      <c r="F31" s="56"/>
      <c r="G31" s="88"/>
    </row>
    <row r="32" spans="2:9" ht="14.25" customHeight="1" x14ac:dyDescent="0.2">
      <c r="B32" s="56"/>
      <c r="C32" s="57"/>
      <c r="D32" s="56"/>
      <c r="E32" s="56"/>
      <c r="F32" s="56"/>
      <c r="G32" s="88"/>
    </row>
    <row r="33" spans="2:7" ht="14.25" customHeight="1" x14ac:dyDescent="0.2">
      <c r="B33" s="56"/>
      <c r="C33" s="57"/>
      <c r="D33" s="56"/>
      <c r="E33" s="56"/>
      <c r="F33" s="56"/>
      <c r="G33" s="88"/>
    </row>
    <row r="34" spans="2:7" ht="14.25" customHeight="1" x14ac:dyDescent="0.2">
      <c r="B34" s="56"/>
      <c r="C34" s="57"/>
      <c r="D34" s="56"/>
      <c r="E34" s="56"/>
      <c r="F34" s="56"/>
      <c r="G34" s="88"/>
    </row>
    <row r="35" spans="2:7" ht="14.25" customHeight="1" x14ac:dyDescent="0.2">
      <c r="B35" s="56"/>
      <c r="C35" s="57"/>
      <c r="D35" s="56"/>
      <c r="E35" s="56"/>
      <c r="F35" s="56"/>
      <c r="G35" s="88"/>
    </row>
    <row r="36" spans="2:7" ht="14.25" customHeight="1" x14ac:dyDescent="0.2">
      <c r="B36" s="56"/>
      <c r="C36" s="57"/>
      <c r="D36" s="56"/>
      <c r="E36" s="56"/>
      <c r="F36" s="56"/>
      <c r="G36" s="88"/>
    </row>
    <row r="37" spans="2:7" ht="14.25" customHeight="1" x14ac:dyDescent="0.2">
      <c r="B37" s="56"/>
      <c r="C37" s="57"/>
      <c r="D37" s="56"/>
      <c r="E37" s="56"/>
      <c r="F37" s="56"/>
      <c r="G37" s="88"/>
    </row>
    <row r="38" spans="2:7" ht="14.25" customHeight="1" x14ac:dyDescent="0.2">
      <c r="B38" s="56"/>
      <c r="C38" s="57"/>
      <c r="D38" s="56"/>
      <c r="E38" s="56"/>
      <c r="F38" s="56"/>
      <c r="G38" s="88"/>
    </row>
    <row r="39" spans="2:7" ht="14.25" customHeight="1" x14ac:dyDescent="0.2">
      <c r="B39" s="56"/>
      <c r="C39" s="57"/>
      <c r="D39" s="56"/>
      <c r="E39" s="56"/>
      <c r="F39" s="56"/>
      <c r="G39" s="88"/>
    </row>
    <row r="40" spans="2:7" ht="14.25" customHeight="1" x14ac:dyDescent="0.2">
      <c r="B40" s="56"/>
      <c r="C40" s="57"/>
      <c r="D40" s="56"/>
      <c r="E40" s="56"/>
      <c r="F40" s="56"/>
      <c r="G40" s="88"/>
    </row>
    <row r="41" spans="2:7" ht="14.25" customHeight="1" x14ac:dyDescent="0.2">
      <c r="B41" s="56"/>
      <c r="C41" s="57"/>
      <c r="D41" s="56"/>
      <c r="E41" s="56"/>
      <c r="F41" s="56"/>
      <c r="G41" s="88"/>
    </row>
    <row r="42" spans="2:7" ht="14.25" customHeight="1" x14ac:dyDescent="0.2">
      <c r="B42" s="56"/>
      <c r="C42" s="57"/>
      <c r="D42" s="56"/>
      <c r="E42" s="56"/>
      <c r="F42" s="56"/>
      <c r="G42" s="88"/>
    </row>
    <row r="43" spans="2:7" ht="14.25" customHeight="1" x14ac:dyDescent="0.2">
      <c r="B43" s="56"/>
      <c r="C43" s="57"/>
      <c r="D43" s="56"/>
      <c r="E43" s="56"/>
      <c r="F43" s="56"/>
      <c r="G43" s="88"/>
    </row>
    <row r="44" spans="2:7" ht="14.25" customHeight="1" x14ac:dyDescent="0.2">
      <c r="B44" s="85"/>
      <c r="C44" s="86"/>
      <c r="D44" s="85"/>
      <c r="E44" s="85"/>
      <c r="F44" s="85"/>
      <c r="G44" s="97"/>
    </row>
    <row r="45" spans="2:7" ht="14.25" customHeight="1" x14ac:dyDescent="0.2">
      <c r="B45" s="85"/>
      <c r="C45" s="86"/>
      <c r="D45" s="85"/>
      <c r="E45" s="85"/>
      <c r="F45" s="85"/>
      <c r="G45" s="97"/>
    </row>
    <row r="46" spans="2:7" ht="14.25" customHeight="1" x14ac:dyDescent="0.2">
      <c r="B46" s="85"/>
      <c r="C46" s="86"/>
      <c r="D46" s="85"/>
      <c r="E46" s="85"/>
      <c r="F46" s="85"/>
      <c r="G46" s="97"/>
    </row>
    <row r="47" spans="2:7" ht="14.25" customHeight="1" x14ac:dyDescent="0.2">
      <c r="B47" s="85"/>
      <c r="C47" s="86"/>
      <c r="D47" s="85"/>
      <c r="E47" s="85"/>
      <c r="F47" s="85"/>
      <c r="G47" s="97"/>
    </row>
    <row r="48" spans="2:7" ht="14.25" customHeight="1" x14ac:dyDescent="0.2">
      <c r="B48" s="85"/>
      <c r="C48" s="86"/>
      <c r="D48" s="85"/>
      <c r="E48" s="85"/>
      <c r="F48" s="85"/>
      <c r="G48" s="97"/>
    </row>
    <row r="49" spans="2:7" ht="14.25" customHeight="1" x14ac:dyDescent="0.2">
      <c r="B49" s="85"/>
      <c r="C49" s="86"/>
      <c r="D49" s="85"/>
      <c r="E49" s="85"/>
      <c r="F49" s="85"/>
      <c r="G49" s="97"/>
    </row>
    <row r="50" spans="2:7" ht="14.25" customHeight="1" x14ac:dyDescent="0.2">
      <c r="B50" s="85"/>
      <c r="C50" s="86"/>
      <c r="D50" s="85"/>
      <c r="E50" s="85"/>
      <c r="F50" s="85"/>
      <c r="G50" s="97"/>
    </row>
    <row r="51" spans="2:7" ht="14.25" customHeight="1" x14ac:dyDescent="0.2">
      <c r="B51" s="85"/>
      <c r="C51" s="86"/>
      <c r="D51" s="85"/>
      <c r="E51" s="85"/>
      <c r="F51" s="85"/>
      <c r="G51" s="97"/>
    </row>
    <row r="52" spans="2:7" ht="14.25" customHeight="1" x14ac:dyDescent="0.2">
      <c r="B52" s="85"/>
      <c r="C52" s="86"/>
      <c r="D52" s="85"/>
      <c r="E52" s="85"/>
      <c r="F52" s="85"/>
      <c r="G52" s="97"/>
    </row>
    <row r="53" spans="2:7" ht="14.25" customHeight="1" x14ac:dyDescent="0.2">
      <c r="B53" s="85"/>
      <c r="C53" s="86"/>
      <c r="D53" s="85"/>
      <c r="E53" s="85"/>
      <c r="F53" s="85"/>
      <c r="G53" s="97"/>
    </row>
    <row r="54" spans="2:7" ht="14.25" customHeight="1" x14ac:dyDescent="0.2">
      <c r="B54" s="85"/>
      <c r="C54" s="86"/>
      <c r="D54" s="85"/>
      <c r="E54" s="85"/>
      <c r="F54" s="85"/>
      <c r="G54" s="97"/>
    </row>
    <row r="55" spans="2:7" ht="14.25" customHeight="1" x14ac:dyDescent="0.2">
      <c r="B55" s="85"/>
      <c r="C55" s="86"/>
      <c r="D55" s="85"/>
      <c r="E55" s="85"/>
      <c r="F55" s="85"/>
      <c r="G55" s="97"/>
    </row>
    <row r="56" spans="2:7" ht="14.25" customHeight="1" x14ac:dyDescent="0.2">
      <c r="B56" s="85"/>
      <c r="C56" s="86"/>
      <c r="D56" s="85"/>
      <c r="E56" s="85"/>
      <c r="F56" s="85"/>
      <c r="G56" s="97"/>
    </row>
    <row r="57" spans="2:7" ht="14.25" customHeight="1" x14ac:dyDescent="0.2">
      <c r="B57" s="85"/>
      <c r="C57" s="86"/>
      <c r="D57" s="85"/>
      <c r="E57" s="85"/>
      <c r="F57" s="85"/>
      <c r="G57" s="97"/>
    </row>
    <row r="58" spans="2:7" ht="14.25" customHeight="1" x14ac:dyDescent="0.2">
      <c r="B58" s="85"/>
      <c r="C58" s="86"/>
      <c r="D58" s="85"/>
      <c r="E58" s="85"/>
      <c r="F58" s="85"/>
      <c r="G58" s="97"/>
    </row>
    <row r="59" spans="2:7" ht="14.25" customHeight="1" x14ac:dyDescent="0.2">
      <c r="B59" s="85"/>
      <c r="C59" s="86"/>
      <c r="D59" s="85"/>
      <c r="E59" s="85"/>
      <c r="F59" s="85"/>
      <c r="G59" s="97"/>
    </row>
    <row r="60" spans="2:7" ht="14.25" customHeight="1" x14ac:dyDescent="0.2">
      <c r="B60" s="85"/>
      <c r="C60" s="86"/>
      <c r="D60" s="85"/>
      <c r="E60" s="85"/>
      <c r="F60" s="85"/>
      <c r="G60" s="97"/>
    </row>
    <row r="61" spans="2:7" ht="14.25" customHeight="1" x14ac:dyDescent="0.2">
      <c r="B61" s="85"/>
      <c r="C61" s="86"/>
      <c r="D61" s="85"/>
      <c r="E61" s="85"/>
      <c r="F61" s="85"/>
      <c r="G61" s="97"/>
    </row>
    <row r="62" spans="2:7" ht="14.25" customHeight="1" x14ac:dyDescent="0.2">
      <c r="B62" s="85"/>
      <c r="C62" s="86"/>
      <c r="D62" s="85"/>
      <c r="E62" s="85"/>
      <c r="F62" s="85"/>
      <c r="G62" s="97"/>
    </row>
    <row r="63" spans="2:7" ht="14.25" customHeight="1" x14ac:dyDescent="0.2">
      <c r="B63" s="85"/>
      <c r="C63" s="86"/>
      <c r="D63" s="85"/>
      <c r="E63" s="85"/>
      <c r="F63" s="85"/>
      <c r="G63" s="97"/>
    </row>
    <row r="64" spans="2:7" ht="14.25" customHeight="1" x14ac:dyDescent="0.2">
      <c r="B64" s="85"/>
      <c r="C64" s="86"/>
      <c r="D64" s="85"/>
      <c r="E64" s="85"/>
      <c r="F64" s="85"/>
      <c r="G64" s="97"/>
    </row>
    <row r="65" spans="2:7" ht="14.25" customHeight="1" x14ac:dyDescent="0.2">
      <c r="B65" s="85"/>
      <c r="C65" s="86"/>
      <c r="D65" s="85"/>
      <c r="E65" s="85"/>
      <c r="F65" s="85"/>
      <c r="G65" s="97"/>
    </row>
    <row r="66" spans="2:7" ht="14.25" customHeight="1" x14ac:dyDescent="0.2">
      <c r="B66" s="85"/>
      <c r="C66" s="86"/>
      <c r="D66" s="85"/>
      <c r="E66" s="85"/>
      <c r="F66" s="85"/>
      <c r="G66" s="97"/>
    </row>
    <row r="67" spans="2:7" ht="14.25" customHeight="1" x14ac:dyDescent="0.2">
      <c r="B67" s="85"/>
      <c r="C67" s="86"/>
      <c r="D67" s="85"/>
      <c r="E67" s="85"/>
      <c r="F67" s="85"/>
      <c r="G67" s="97"/>
    </row>
    <row r="68" spans="2:7" ht="14.25" customHeight="1" x14ac:dyDescent="0.2">
      <c r="B68" s="85"/>
      <c r="C68" s="86"/>
      <c r="D68" s="85"/>
      <c r="E68" s="85"/>
      <c r="F68" s="85"/>
      <c r="G68" s="97"/>
    </row>
    <row r="69" spans="2:7" ht="14.25" customHeight="1" x14ac:dyDescent="0.2">
      <c r="B69" s="85"/>
      <c r="C69" s="86"/>
      <c r="D69" s="85"/>
      <c r="E69" s="85"/>
      <c r="F69" s="85"/>
      <c r="G69" s="97"/>
    </row>
    <row r="70" spans="2:7" ht="14.25" customHeight="1" x14ac:dyDescent="0.2">
      <c r="B70" s="85"/>
      <c r="C70" s="86"/>
      <c r="D70" s="85"/>
      <c r="E70" s="85"/>
      <c r="F70" s="85"/>
      <c r="G70" s="97"/>
    </row>
    <row r="71" spans="2:7" ht="14.25" customHeight="1" x14ac:dyDescent="0.2">
      <c r="B71" s="85"/>
      <c r="C71" s="86"/>
      <c r="D71" s="85"/>
      <c r="E71" s="85"/>
      <c r="F71" s="85"/>
      <c r="G71" s="97"/>
    </row>
    <row r="72" spans="2:7" ht="14.25" customHeight="1" x14ac:dyDescent="0.2">
      <c r="B72" s="85"/>
      <c r="C72" s="86"/>
      <c r="D72" s="85"/>
      <c r="E72" s="85"/>
      <c r="F72" s="85"/>
      <c r="G72" s="97"/>
    </row>
    <row r="73" spans="2:7" ht="14.25" customHeight="1" x14ac:dyDescent="0.2">
      <c r="B73" s="85"/>
      <c r="C73" s="86"/>
      <c r="D73" s="85"/>
      <c r="E73" s="85"/>
      <c r="F73" s="85"/>
      <c r="G73" s="97"/>
    </row>
    <row r="74" spans="2:7" ht="14.25" customHeight="1" x14ac:dyDescent="0.2">
      <c r="B74" s="85"/>
      <c r="C74" s="86"/>
      <c r="D74" s="85"/>
      <c r="E74" s="85"/>
      <c r="F74" s="85"/>
      <c r="G74" s="97"/>
    </row>
    <row r="75" spans="2:7" ht="14.25" customHeight="1" x14ac:dyDescent="0.2">
      <c r="B75" s="85"/>
      <c r="C75" s="86"/>
      <c r="D75" s="85"/>
      <c r="E75" s="85"/>
      <c r="F75" s="85"/>
      <c r="G75" s="97"/>
    </row>
    <row r="76" spans="2:7" ht="14.25" customHeight="1" x14ac:dyDescent="0.2">
      <c r="B76" s="85"/>
      <c r="C76" s="86"/>
      <c r="D76" s="85"/>
      <c r="E76" s="85"/>
      <c r="F76" s="85"/>
      <c r="G76" s="97"/>
    </row>
    <row r="77" spans="2:7" ht="14.25" customHeight="1" x14ac:dyDescent="0.2">
      <c r="B77" s="85"/>
      <c r="C77" s="86"/>
      <c r="D77" s="85"/>
      <c r="E77" s="85"/>
      <c r="F77" s="85"/>
      <c r="G77" s="97"/>
    </row>
    <row r="78" spans="2:7" ht="14.25" customHeight="1" x14ac:dyDescent="0.2">
      <c r="B78" s="85"/>
      <c r="C78" s="86"/>
      <c r="D78" s="85"/>
      <c r="E78" s="85"/>
      <c r="F78" s="85"/>
      <c r="G78" s="97"/>
    </row>
    <row r="79" spans="2:7" ht="14.25" customHeight="1" x14ac:dyDescent="0.2">
      <c r="B79" s="85"/>
      <c r="C79" s="86"/>
      <c r="D79" s="85"/>
      <c r="E79" s="85"/>
      <c r="F79" s="85"/>
      <c r="G79" s="97"/>
    </row>
    <row r="80" spans="2:7" ht="14.25" customHeight="1" x14ac:dyDescent="0.2">
      <c r="B80" s="85"/>
      <c r="C80" s="86"/>
      <c r="D80" s="85"/>
      <c r="E80" s="85"/>
      <c r="F80" s="85"/>
      <c r="G80" s="97"/>
    </row>
    <row r="81" spans="2:7" ht="14.25" customHeight="1" x14ac:dyDescent="0.2">
      <c r="B81" s="85"/>
      <c r="C81" s="86"/>
      <c r="D81" s="85"/>
      <c r="E81" s="85"/>
      <c r="F81" s="85"/>
      <c r="G81" s="97"/>
    </row>
    <row r="82" spans="2:7" ht="14.25" customHeight="1" x14ac:dyDescent="0.2">
      <c r="B82" s="85"/>
      <c r="C82" s="86"/>
      <c r="D82" s="85"/>
      <c r="E82" s="85"/>
      <c r="F82" s="85"/>
      <c r="G82" s="97"/>
    </row>
    <row r="83" spans="2:7" ht="14.25" customHeight="1" x14ac:dyDescent="0.2">
      <c r="B83" s="85"/>
      <c r="C83" s="86"/>
      <c r="D83" s="85"/>
      <c r="E83" s="85"/>
      <c r="F83" s="85"/>
      <c r="G83" s="97"/>
    </row>
    <row r="84" spans="2:7" ht="14.25" customHeight="1" x14ac:dyDescent="0.2">
      <c r="B84" s="85"/>
      <c r="C84" s="86"/>
      <c r="D84" s="85"/>
      <c r="E84" s="85"/>
      <c r="F84" s="85"/>
      <c r="G84" s="97"/>
    </row>
    <row r="85" spans="2:7" ht="14.25" customHeight="1" x14ac:dyDescent="0.2">
      <c r="B85" s="85"/>
      <c r="C85" s="86"/>
      <c r="D85" s="85"/>
      <c r="E85" s="85"/>
      <c r="F85" s="85"/>
      <c r="G85" s="97"/>
    </row>
    <row r="86" spans="2:7" ht="14.25" customHeight="1" x14ac:dyDescent="0.2">
      <c r="B86" s="85"/>
      <c r="C86" s="86"/>
      <c r="D86" s="85"/>
      <c r="E86" s="85"/>
      <c r="F86" s="85"/>
      <c r="G86" s="97"/>
    </row>
    <row r="87" spans="2:7" ht="14.25" customHeight="1" x14ac:dyDescent="0.2">
      <c r="B87" s="85"/>
      <c r="C87" s="86"/>
      <c r="D87" s="85"/>
      <c r="E87" s="85"/>
      <c r="F87" s="85"/>
      <c r="G87" s="97"/>
    </row>
    <row r="88" spans="2:7" ht="14.25" customHeight="1" x14ac:dyDescent="0.2">
      <c r="B88" s="85"/>
      <c r="C88" s="86"/>
      <c r="D88" s="85"/>
      <c r="E88" s="85"/>
      <c r="F88" s="85"/>
      <c r="G88" s="97"/>
    </row>
    <row r="89" spans="2:7" ht="14.25" customHeight="1" x14ac:dyDescent="0.2">
      <c r="B89" s="85"/>
      <c r="C89" s="86"/>
      <c r="D89" s="85"/>
      <c r="E89" s="85"/>
      <c r="F89" s="85"/>
      <c r="G89" s="97"/>
    </row>
    <row r="90" spans="2:7" ht="14.25" customHeight="1" x14ac:dyDescent="0.2">
      <c r="B90" s="85"/>
      <c r="C90" s="86"/>
      <c r="D90" s="85"/>
      <c r="E90" s="85"/>
      <c r="F90" s="85"/>
      <c r="G90" s="97"/>
    </row>
    <row r="91" spans="2:7" ht="14.25" customHeight="1" x14ac:dyDescent="0.2">
      <c r="B91" s="85"/>
      <c r="C91" s="86"/>
      <c r="D91" s="85"/>
      <c r="E91" s="85"/>
      <c r="F91" s="85"/>
      <c r="G91" s="97"/>
    </row>
    <row r="92" spans="2:7" ht="14.25" customHeight="1" x14ac:dyDescent="0.2">
      <c r="B92" s="85"/>
      <c r="C92" s="86"/>
      <c r="D92" s="85"/>
      <c r="E92" s="85"/>
      <c r="F92" s="85"/>
      <c r="G92" s="97"/>
    </row>
    <row r="93" spans="2:7" ht="14.25" customHeight="1" x14ac:dyDescent="0.2">
      <c r="B93" s="85"/>
      <c r="C93" s="86"/>
      <c r="D93" s="85"/>
      <c r="E93" s="85"/>
      <c r="F93" s="85"/>
      <c r="G93" s="97"/>
    </row>
    <row r="94" spans="2:7" ht="14.25" customHeight="1" x14ac:dyDescent="0.2">
      <c r="B94" s="85"/>
      <c r="C94" s="86"/>
      <c r="D94" s="85"/>
      <c r="E94" s="85"/>
      <c r="F94" s="85"/>
      <c r="G94" s="97"/>
    </row>
    <row r="95" spans="2:7" ht="14.25" customHeight="1" x14ac:dyDescent="0.2">
      <c r="B95" s="85"/>
      <c r="C95" s="86"/>
      <c r="D95" s="85"/>
      <c r="E95" s="85"/>
      <c r="F95" s="85"/>
      <c r="G95" s="97"/>
    </row>
    <row r="96" spans="2:7" ht="14.25" customHeight="1" x14ac:dyDescent="0.2">
      <c r="B96" s="85"/>
      <c r="C96" s="86"/>
      <c r="D96" s="85"/>
      <c r="E96" s="85"/>
      <c r="F96" s="85"/>
      <c r="G96" s="97"/>
    </row>
    <row r="97" spans="2:7" ht="14.25" customHeight="1" x14ac:dyDescent="0.2">
      <c r="B97" s="85"/>
      <c r="C97" s="86"/>
      <c r="D97" s="85"/>
      <c r="E97" s="85"/>
      <c r="F97" s="85"/>
      <c r="G97" s="97"/>
    </row>
    <row r="98" spans="2:7" ht="14.25" customHeight="1" x14ac:dyDescent="0.2">
      <c r="B98" s="85"/>
      <c r="C98" s="86"/>
      <c r="D98" s="85"/>
      <c r="E98" s="85"/>
      <c r="F98" s="85"/>
      <c r="G98" s="97"/>
    </row>
    <row r="99" spans="2:7" ht="14.25" customHeight="1" x14ac:dyDescent="0.2">
      <c r="B99" s="85"/>
      <c r="C99" s="86"/>
      <c r="D99" s="85"/>
      <c r="E99" s="85"/>
      <c r="F99" s="85"/>
      <c r="G99" s="97"/>
    </row>
    <row r="100" spans="2:7" ht="14.25" customHeight="1" x14ac:dyDescent="0.2">
      <c r="B100" s="85"/>
      <c r="C100" s="86"/>
      <c r="D100" s="85"/>
      <c r="E100" s="85"/>
      <c r="F100" s="85"/>
      <c r="G100" s="97"/>
    </row>
  </sheetData>
  <mergeCells count="5">
    <mergeCell ref="C3:F3"/>
    <mergeCell ref="C4:F4"/>
    <mergeCell ref="C5:F5"/>
    <mergeCell ref="C16:C18"/>
    <mergeCell ref="D16:D18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08000"/>
  </sheetPr>
  <dimension ref="B1:G100"/>
  <sheetViews>
    <sheetView topLeftCell="A2" zoomScale="183" workbookViewId="0">
      <selection activeCell="F10" sqref="F10"/>
    </sheetView>
  </sheetViews>
  <sheetFormatPr baseColWidth="10" defaultColWidth="14.5" defaultRowHeight="15" customHeight="1" x14ac:dyDescent="0.2"/>
  <cols>
    <col min="1" max="1" width="8" customWidth="1"/>
    <col min="2" max="2" width="9.1640625" customWidth="1"/>
    <col min="3" max="3" width="32.33203125" customWidth="1"/>
    <col min="4" max="4" width="12.33203125" customWidth="1"/>
    <col min="5" max="5" width="16" customWidth="1"/>
    <col min="6" max="6" width="39.5" customWidth="1"/>
    <col min="7" max="7" width="34.1640625" customWidth="1"/>
    <col min="8" max="11" width="8" customWidth="1"/>
  </cols>
  <sheetData>
    <row r="1" spans="2:7" ht="14.25" customHeight="1" x14ac:dyDescent="0.2">
      <c r="B1" s="57"/>
      <c r="C1" s="56"/>
      <c r="D1" s="56"/>
      <c r="E1" s="56"/>
      <c r="F1" s="88"/>
      <c r="G1" s="56"/>
    </row>
    <row r="2" spans="2:7" ht="14.25" customHeight="1" x14ac:dyDescent="0.2">
      <c r="B2" s="57"/>
      <c r="C2" s="56"/>
      <c r="D2" s="56"/>
      <c r="E2" s="56"/>
      <c r="F2" s="88"/>
      <c r="G2" s="56"/>
    </row>
    <row r="3" spans="2:7" ht="14.25" customHeight="1" x14ac:dyDescent="0.2">
      <c r="B3" s="483" t="s">
        <v>417</v>
      </c>
      <c r="C3" s="453"/>
      <c r="D3" s="453"/>
      <c r="E3" s="453"/>
      <c r="F3" s="88"/>
      <c r="G3" s="56"/>
    </row>
    <row r="4" spans="2:7" ht="14.25" customHeight="1" x14ac:dyDescent="0.2">
      <c r="B4" s="488" t="s">
        <v>418</v>
      </c>
      <c r="C4" s="453"/>
      <c r="D4" s="453"/>
      <c r="E4" s="453"/>
      <c r="F4" s="88"/>
      <c r="G4" s="56"/>
    </row>
    <row r="5" spans="2:7" ht="14.25" customHeight="1" x14ac:dyDescent="0.2">
      <c r="B5" s="489" t="s">
        <v>464</v>
      </c>
      <c r="C5" s="453"/>
      <c r="D5" s="453"/>
      <c r="E5" s="453"/>
      <c r="F5" s="88"/>
      <c r="G5" s="56"/>
    </row>
    <row r="6" spans="2:7" ht="15" customHeight="1" x14ac:dyDescent="0.2">
      <c r="B6" s="57"/>
      <c r="C6" s="56"/>
      <c r="D6" s="56"/>
      <c r="E6" s="56"/>
      <c r="F6" s="88"/>
      <c r="G6" s="56"/>
    </row>
    <row r="7" spans="2:7" ht="23.25" customHeight="1" x14ac:dyDescent="0.2">
      <c r="B7" s="59" t="s">
        <v>422</v>
      </c>
      <c r="C7" s="60" t="s">
        <v>423</v>
      </c>
      <c r="D7" s="61" t="s">
        <v>424</v>
      </c>
      <c r="E7" s="62"/>
      <c r="F7" s="88"/>
      <c r="G7" s="56"/>
    </row>
    <row r="8" spans="2:7" ht="34.5" customHeight="1" x14ac:dyDescent="0.2">
      <c r="B8" s="59">
        <v>1</v>
      </c>
      <c r="C8" s="60" t="s">
        <v>449</v>
      </c>
      <c r="D8" s="61" t="s">
        <v>450</v>
      </c>
      <c r="E8" s="89">
        <f>43099.1</f>
        <v>43099.1</v>
      </c>
      <c r="F8" s="90"/>
      <c r="G8" s="72"/>
    </row>
    <row r="9" spans="2:7" ht="22.5" customHeight="1" x14ac:dyDescent="0.2">
      <c r="B9" s="91">
        <v>2</v>
      </c>
      <c r="C9" s="64" t="s">
        <v>451</v>
      </c>
      <c r="D9" s="64" t="s">
        <v>433</v>
      </c>
      <c r="E9" s="92">
        <v>20000</v>
      </c>
      <c r="F9" s="90" t="s">
        <v>677</v>
      </c>
      <c r="G9" s="72"/>
    </row>
    <row r="10" spans="2:7" ht="14.25" customHeight="1" x14ac:dyDescent="0.2">
      <c r="B10" s="70"/>
      <c r="C10" s="68"/>
      <c r="D10" s="68"/>
      <c r="E10" s="70"/>
      <c r="F10" s="90"/>
      <c r="G10" s="72"/>
    </row>
    <row r="11" spans="2:7" ht="14.25" customHeight="1" x14ac:dyDescent="0.2">
      <c r="B11" s="93"/>
      <c r="C11" s="94"/>
      <c r="D11" s="94"/>
      <c r="E11" s="93"/>
      <c r="F11" s="90"/>
      <c r="G11" s="56"/>
    </row>
    <row r="12" spans="2:7" ht="15" customHeight="1" x14ac:dyDescent="0.2">
      <c r="B12" s="95">
        <v>3</v>
      </c>
      <c r="C12" s="75" t="s">
        <v>456</v>
      </c>
      <c r="D12" s="75" t="s">
        <v>433</v>
      </c>
      <c r="E12" s="95">
        <f>E9*F12</f>
        <v>2400</v>
      </c>
      <c r="F12" s="90">
        <v>0.12</v>
      </c>
      <c r="G12" s="72"/>
    </row>
    <row r="13" spans="2:7" ht="14.25" customHeight="1" x14ac:dyDescent="0.2">
      <c r="B13" s="486">
        <v>4</v>
      </c>
      <c r="C13" s="487" t="s">
        <v>457</v>
      </c>
      <c r="D13" s="61" t="s">
        <v>458</v>
      </c>
      <c r="E13" s="89">
        <f>E9+E10+E12</f>
        <v>22400</v>
      </c>
      <c r="F13" s="90">
        <f>20589*1.302*1.2*1.05*1.2</f>
        <v>40531.999536000003</v>
      </c>
      <c r="G13" s="72"/>
    </row>
    <row r="14" spans="2:7" ht="14.25" customHeight="1" x14ac:dyDescent="0.2">
      <c r="B14" s="480"/>
      <c r="C14" s="480"/>
      <c r="D14" s="77"/>
      <c r="E14" s="78"/>
      <c r="F14" s="90">
        <f>F13/E8</f>
        <v>0.94043726054604404</v>
      </c>
      <c r="G14" s="72"/>
    </row>
    <row r="15" spans="2:7" ht="52.25" customHeight="1" x14ac:dyDescent="0.2">
      <c r="B15" s="481"/>
      <c r="C15" s="481"/>
      <c r="D15" s="79" t="s">
        <v>460</v>
      </c>
      <c r="E15" s="80">
        <f>E13/E8</f>
        <v>0.51973243060759966</v>
      </c>
      <c r="F15" s="90" t="s">
        <v>678</v>
      </c>
      <c r="G15" s="72"/>
    </row>
    <row r="16" spans="2:7" ht="14.25" customHeight="1" x14ac:dyDescent="0.2">
      <c r="B16" s="72"/>
      <c r="C16" s="83"/>
      <c r="D16" s="83"/>
      <c r="E16" s="83"/>
      <c r="F16" s="83"/>
      <c r="G16" s="83"/>
    </row>
    <row r="17" spans="2:7" ht="14.25" customHeight="1" x14ac:dyDescent="0.2">
      <c r="B17" s="57"/>
      <c r="C17" s="56"/>
      <c r="D17" s="56"/>
      <c r="E17" s="56"/>
      <c r="F17" s="88"/>
      <c r="G17" s="56"/>
    </row>
    <row r="18" spans="2:7" ht="14.25" customHeight="1" x14ac:dyDescent="0.2">
      <c r="B18" s="57"/>
      <c r="C18" s="56"/>
      <c r="D18" s="56"/>
      <c r="E18" s="56"/>
      <c r="F18" s="88"/>
      <c r="G18" s="56"/>
    </row>
    <row r="19" spans="2:7" ht="14.25" customHeight="1" x14ac:dyDescent="0.2">
      <c r="B19" s="57"/>
      <c r="C19" s="56"/>
      <c r="D19" s="56"/>
      <c r="E19" s="56"/>
      <c r="F19" s="88"/>
      <c r="G19" s="56"/>
    </row>
    <row r="20" spans="2:7" ht="14.25" customHeight="1" x14ac:dyDescent="0.2">
      <c r="B20" s="57"/>
      <c r="C20" s="56"/>
      <c r="D20" s="56"/>
      <c r="E20" s="56"/>
      <c r="F20" s="88"/>
      <c r="G20" s="56"/>
    </row>
    <row r="21" spans="2:7" ht="14.25" customHeight="1" x14ac:dyDescent="0.2">
      <c r="B21" s="57"/>
      <c r="C21" s="56"/>
      <c r="D21" s="56"/>
      <c r="E21" s="56"/>
      <c r="F21" s="88"/>
      <c r="G21" s="56"/>
    </row>
    <row r="22" spans="2:7" ht="14.25" customHeight="1" x14ac:dyDescent="0.2">
      <c r="B22" s="57"/>
      <c r="C22" s="56"/>
      <c r="D22" s="56"/>
      <c r="E22" s="56"/>
      <c r="F22" s="88"/>
      <c r="G22" s="56"/>
    </row>
    <row r="23" spans="2:7" ht="14.25" customHeight="1" x14ac:dyDescent="0.2">
      <c r="B23" s="57"/>
      <c r="C23" s="56"/>
      <c r="D23" s="56"/>
      <c r="E23" s="56"/>
      <c r="F23" s="88"/>
      <c r="G23" s="56"/>
    </row>
    <row r="24" spans="2:7" ht="14.25" customHeight="1" x14ac:dyDescent="0.2">
      <c r="B24" s="57"/>
      <c r="C24" s="56"/>
      <c r="D24" s="56"/>
      <c r="E24" s="56"/>
      <c r="F24" s="88"/>
      <c r="G24" s="56"/>
    </row>
    <row r="25" spans="2:7" ht="14.25" customHeight="1" x14ac:dyDescent="0.2">
      <c r="B25" s="57"/>
      <c r="C25" s="56"/>
      <c r="D25" s="56"/>
      <c r="E25" s="56"/>
      <c r="F25" s="88"/>
      <c r="G25" s="56"/>
    </row>
    <row r="26" spans="2:7" ht="14.25" customHeight="1" x14ac:dyDescent="0.2">
      <c r="B26" s="57"/>
      <c r="C26" s="56"/>
      <c r="D26" s="56"/>
      <c r="E26" s="56"/>
      <c r="F26" s="88"/>
      <c r="G26" s="56"/>
    </row>
    <row r="27" spans="2:7" ht="14.25" customHeight="1" x14ac:dyDescent="0.2">
      <c r="B27" s="57"/>
      <c r="C27" s="56"/>
      <c r="D27" s="56"/>
      <c r="E27" s="56"/>
      <c r="F27" s="88"/>
      <c r="G27" s="56"/>
    </row>
    <row r="28" spans="2:7" ht="14.25" customHeight="1" x14ac:dyDescent="0.2">
      <c r="B28" s="57"/>
      <c r="C28" s="56"/>
      <c r="D28" s="56"/>
      <c r="E28" s="56"/>
      <c r="F28" s="88"/>
      <c r="G28" s="56"/>
    </row>
    <row r="29" spans="2:7" ht="14.25" customHeight="1" x14ac:dyDescent="0.2">
      <c r="B29" s="57"/>
      <c r="C29" s="56"/>
      <c r="D29" s="56"/>
      <c r="E29" s="56"/>
      <c r="F29" s="88"/>
      <c r="G29" s="56"/>
    </row>
    <row r="30" spans="2:7" ht="14.25" customHeight="1" x14ac:dyDescent="0.2">
      <c r="B30" s="57"/>
      <c r="C30" s="56"/>
      <c r="D30" s="56"/>
      <c r="E30" s="56"/>
      <c r="F30" s="88"/>
      <c r="G30" s="56"/>
    </row>
    <row r="31" spans="2:7" ht="14.25" customHeight="1" x14ac:dyDescent="0.2">
      <c r="B31" s="57"/>
      <c r="C31" s="56"/>
      <c r="D31" s="56"/>
      <c r="E31" s="56"/>
      <c r="F31" s="88"/>
      <c r="G31" s="56"/>
    </row>
    <row r="32" spans="2:7" ht="14.25" customHeight="1" x14ac:dyDescent="0.2">
      <c r="B32" s="86"/>
      <c r="C32" s="85"/>
      <c r="D32" s="85"/>
      <c r="E32" s="85"/>
      <c r="F32" s="97"/>
      <c r="G32" s="85"/>
    </row>
    <row r="33" spans="2:7" ht="14.25" customHeight="1" x14ac:dyDescent="0.2">
      <c r="B33" s="86"/>
      <c r="C33" s="85"/>
      <c r="D33" s="85"/>
      <c r="E33" s="85"/>
      <c r="F33" s="97"/>
      <c r="G33" s="85"/>
    </row>
    <row r="34" spans="2:7" ht="14.25" customHeight="1" x14ac:dyDescent="0.2">
      <c r="B34" s="86"/>
      <c r="C34" s="85"/>
      <c r="D34" s="85"/>
      <c r="E34" s="85"/>
      <c r="F34" s="97"/>
      <c r="G34" s="85"/>
    </row>
    <row r="35" spans="2:7" ht="14.25" customHeight="1" x14ac:dyDescent="0.2">
      <c r="B35" s="86"/>
      <c r="C35" s="85"/>
      <c r="D35" s="85"/>
      <c r="E35" s="85"/>
      <c r="F35" s="97"/>
      <c r="G35" s="85"/>
    </row>
    <row r="36" spans="2:7" ht="14.25" customHeight="1" x14ac:dyDescent="0.2">
      <c r="B36" s="86"/>
      <c r="C36" s="85"/>
      <c r="D36" s="85"/>
      <c r="E36" s="85"/>
      <c r="F36" s="97"/>
      <c r="G36" s="85"/>
    </row>
    <row r="37" spans="2:7" ht="14.25" customHeight="1" x14ac:dyDescent="0.2">
      <c r="B37" s="86"/>
      <c r="C37" s="85"/>
      <c r="D37" s="85"/>
      <c r="E37" s="85"/>
      <c r="F37" s="97"/>
      <c r="G37" s="85"/>
    </row>
    <row r="38" spans="2:7" ht="14.25" customHeight="1" x14ac:dyDescent="0.2">
      <c r="B38" s="86"/>
      <c r="C38" s="85"/>
      <c r="D38" s="85"/>
      <c r="E38" s="85"/>
      <c r="F38" s="97"/>
      <c r="G38" s="85"/>
    </row>
    <row r="39" spans="2:7" ht="14.25" customHeight="1" x14ac:dyDescent="0.2">
      <c r="B39" s="86"/>
      <c r="C39" s="85"/>
      <c r="D39" s="85"/>
      <c r="E39" s="85"/>
      <c r="F39" s="97"/>
      <c r="G39" s="85"/>
    </row>
    <row r="40" spans="2:7" ht="14.25" customHeight="1" x14ac:dyDescent="0.2">
      <c r="B40" s="86"/>
      <c r="C40" s="85"/>
      <c r="D40" s="85"/>
      <c r="E40" s="85"/>
      <c r="F40" s="97"/>
      <c r="G40" s="85"/>
    </row>
    <row r="41" spans="2:7" ht="14.25" customHeight="1" x14ac:dyDescent="0.2">
      <c r="B41" s="86"/>
      <c r="C41" s="85"/>
      <c r="D41" s="85"/>
      <c r="E41" s="85"/>
      <c r="F41" s="97"/>
      <c r="G41" s="85"/>
    </row>
    <row r="42" spans="2:7" ht="14.25" customHeight="1" x14ac:dyDescent="0.2">
      <c r="B42" s="86"/>
      <c r="C42" s="85"/>
      <c r="D42" s="85"/>
      <c r="E42" s="85"/>
      <c r="F42" s="97"/>
      <c r="G42" s="85"/>
    </row>
    <row r="43" spans="2:7" ht="14.25" customHeight="1" x14ac:dyDescent="0.2">
      <c r="B43" s="86"/>
      <c r="C43" s="85"/>
      <c r="D43" s="85"/>
      <c r="E43" s="85"/>
      <c r="F43" s="97"/>
      <c r="G43" s="85"/>
    </row>
    <row r="44" spans="2:7" ht="14.25" customHeight="1" x14ac:dyDescent="0.2">
      <c r="B44" s="86"/>
      <c r="C44" s="85"/>
      <c r="D44" s="85"/>
      <c r="E44" s="85"/>
      <c r="F44" s="97"/>
      <c r="G44" s="85"/>
    </row>
    <row r="45" spans="2:7" ht="14.25" customHeight="1" x14ac:dyDescent="0.2">
      <c r="B45" s="86"/>
      <c r="C45" s="85"/>
      <c r="D45" s="85"/>
      <c r="E45" s="85"/>
      <c r="F45" s="97"/>
      <c r="G45" s="85"/>
    </row>
    <row r="46" spans="2:7" ht="14.25" customHeight="1" x14ac:dyDescent="0.2">
      <c r="B46" s="86"/>
      <c r="C46" s="85"/>
      <c r="D46" s="85"/>
      <c r="E46" s="85"/>
      <c r="F46" s="97"/>
      <c r="G46" s="85"/>
    </row>
    <row r="47" spans="2:7" ht="14.25" customHeight="1" x14ac:dyDescent="0.2">
      <c r="B47" s="86"/>
      <c r="C47" s="85"/>
      <c r="D47" s="85"/>
      <c r="E47" s="85"/>
      <c r="F47" s="97"/>
      <c r="G47" s="85"/>
    </row>
    <row r="48" spans="2:7" ht="14.25" customHeight="1" x14ac:dyDescent="0.2">
      <c r="B48" s="86"/>
      <c r="C48" s="85"/>
      <c r="D48" s="85"/>
      <c r="E48" s="85"/>
      <c r="F48" s="97"/>
      <c r="G48" s="85"/>
    </row>
    <row r="49" spans="2:7" ht="14.25" customHeight="1" x14ac:dyDescent="0.2">
      <c r="B49" s="86"/>
      <c r="C49" s="85"/>
      <c r="D49" s="85"/>
      <c r="E49" s="85"/>
      <c r="F49" s="97"/>
      <c r="G49" s="85"/>
    </row>
    <row r="50" spans="2:7" ht="14.25" customHeight="1" x14ac:dyDescent="0.2">
      <c r="B50" s="86"/>
      <c r="C50" s="85"/>
      <c r="D50" s="85"/>
      <c r="E50" s="85"/>
      <c r="F50" s="97"/>
      <c r="G50" s="85"/>
    </row>
    <row r="51" spans="2:7" ht="14.25" customHeight="1" x14ac:dyDescent="0.2">
      <c r="B51" s="86"/>
      <c r="C51" s="85"/>
      <c r="D51" s="85"/>
      <c r="E51" s="85"/>
      <c r="F51" s="97"/>
      <c r="G51" s="85"/>
    </row>
    <row r="52" spans="2:7" ht="14.25" customHeight="1" x14ac:dyDescent="0.2">
      <c r="B52" s="86"/>
      <c r="C52" s="85"/>
      <c r="D52" s="85"/>
      <c r="E52" s="85"/>
      <c r="F52" s="97"/>
      <c r="G52" s="85"/>
    </row>
    <row r="53" spans="2:7" ht="14.25" customHeight="1" x14ac:dyDescent="0.2">
      <c r="B53" s="86"/>
      <c r="C53" s="85"/>
      <c r="D53" s="85"/>
      <c r="E53" s="85"/>
      <c r="F53" s="97"/>
      <c r="G53" s="85"/>
    </row>
    <row r="54" spans="2:7" ht="14.25" customHeight="1" x14ac:dyDescent="0.2">
      <c r="B54" s="86"/>
      <c r="C54" s="85"/>
      <c r="D54" s="85"/>
      <c r="E54" s="85"/>
      <c r="F54" s="97"/>
      <c r="G54" s="85"/>
    </row>
    <row r="55" spans="2:7" ht="14.25" customHeight="1" x14ac:dyDescent="0.2">
      <c r="B55" s="86"/>
      <c r="C55" s="85"/>
      <c r="D55" s="85"/>
      <c r="E55" s="85"/>
      <c r="F55" s="97"/>
      <c r="G55" s="85"/>
    </row>
    <row r="56" spans="2:7" ht="14.25" customHeight="1" x14ac:dyDescent="0.2">
      <c r="B56" s="86"/>
      <c r="C56" s="85"/>
      <c r="D56" s="85"/>
      <c r="E56" s="85"/>
      <c r="F56" s="97"/>
      <c r="G56" s="85"/>
    </row>
    <row r="57" spans="2:7" ht="14.25" customHeight="1" x14ac:dyDescent="0.2">
      <c r="B57" s="86"/>
      <c r="C57" s="85"/>
      <c r="D57" s="85"/>
      <c r="E57" s="85"/>
      <c r="F57" s="97"/>
      <c r="G57" s="85"/>
    </row>
    <row r="58" spans="2:7" ht="14.25" customHeight="1" x14ac:dyDescent="0.2">
      <c r="B58" s="86"/>
      <c r="C58" s="85"/>
      <c r="D58" s="85"/>
      <c r="E58" s="85"/>
      <c r="F58" s="97"/>
      <c r="G58" s="85"/>
    </row>
    <row r="59" spans="2:7" ht="14.25" customHeight="1" x14ac:dyDescent="0.2">
      <c r="B59" s="86"/>
      <c r="C59" s="85"/>
      <c r="D59" s="85"/>
      <c r="E59" s="85"/>
      <c r="F59" s="97"/>
      <c r="G59" s="85"/>
    </row>
    <row r="60" spans="2:7" ht="14.25" customHeight="1" x14ac:dyDescent="0.2">
      <c r="B60" s="86"/>
      <c r="C60" s="85"/>
      <c r="D60" s="85"/>
      <c r="E60" s="85"/>
      <c r="F60" s="97"/>
      <c r="G60" s="85"/>
    </row>
    <row r="61" spans="2:7" ht="14.25" customHeight="1" x14ac:dyDescent="0.2">
      <c r="B61" s="86"/>
      <c r="C61" s="85"/>
      <c r="D61" s="85"/>
      <c r="E61" s="85"/>
      <c r="F61" s="97"/>
      <c r="G61" s="85"/>
    </row>
    <row r="62" spans="2:7" ht="14.25" customHeight="1" x14ac:dyDescent="0.2">
      <c r="B62" s="86"/>
      <c r="C62" s="85"/>
      <c r="D62" s="85"/>
      <c r="E62" s="85"/>
      <c r="F62" s="97"/>
      <c r="G62" s="85"/>
    </row>
    <row r="63" spans="2:7" ht="14.25" customHeight="1" x14ac:dyDescent="0.2">
      <c r="B63" s="86"/>
      <c r="C63" s="85"/>
      <c r="D63" s="85"/>
      <c r="E63" s="85"/>
      <c r="F63" s="97"/>
      <c r="G63" s="85"/>
    </row>
    <row r="64" spans="2:7" ht="14.25" customHeight="1" x14ac:dyDescent="0.2">
      <c r="B64" s="86"/>
      <c r="C64" s="85"/>
      <c r="D64" s="85"/>
      <c r="E64" s="85"/>
      <c r="F64" s="97"/>
      <c r="G64" s="85"/>
    </row>
    <row r="65" spans="2:7" ht="14.25" customHeight="1" x14ac:dyDescent="0.2">
      <c r="B65" s="86"/>
      <c r="C65" s="85"/>
      <c r="D65" s="85"/>
      <c r="E65" s="85"/>
      <c r="F65" s="97"/>
      <c r="G65" s="85"/>
    </row>
    <row r="66" spans="2:7" ht="14.25" customHeight="1" x14ac:dyDescent="0.2">
      <c r="B66" s="86"/>
      <c r="C66" s="85"/>
      <c r="D66" s="85"/>
      <c r="E66" s="85"/>
      <c r="F66" s="97"/>
      <c r="G66" s="85"/>
    </row>
    <row r="67" spans="2:7" ht="14.25" customHeight="1" x14ac:dyDescent="0.2">
      <c r="B67" s="86"/>
      <c r="C67" s="85"/>
      <c r="D67" s="85"/>
      <c r="E67" s="85"/>
      <c r="F67" s="97"/>
      <c r="G67" s="85"/>
    </row>
    <row r="68" spans="2:7" ht="14.25" customHeight="1" x14ac:dyDescent="0.2">
      <c r="B68" s="86"/>
      <c r="C68" s="85"/>
      <c r="D68" s="85"/>
      <c r="E68" s="85"/>
      <c r="F68" s="97"/>
      <c r="G68" s="85"/>
    </row>
    <row r="69" spans="2:7" ht="14.25" customHeight="1" x14ac:dyDescent="0.2">
      <c r="B69" s="86"/>
      <c r="C69" s="85"/>
      <c r="D69" s="85"/>
      <c r="E69" s="85"/>
      <c r="F69" s="97"/>
      <c r="G69" s="85"/>
    </row>
    <row r="70" spans="2:7" ht="14.25" customHeight="1" x14ac:dyDescent="0.2">
      <c r="B70" s="86"/>
      <c r="C70" s="85"/>
      <c r="D70" s="85"/>
      <c r="E70" s="85"/>
      <c r="F70" s="97"/>
      <c r="G70" s="85"/>
    </row>
    <row r="71" spans="2:7" ht="14.25" customHeight="1" x14ac:dyDescent="0.2">
      <c r="B71" s="86"/>
      <c r="C71" s="85"/>
      <c r="D71" s="85"/>
      <c r="E71" s="85"/>
      <c r="F71" s="97"/>
      <c r="G71" s="85"/>
    </row>
    <row r="72" spans="2:7" ht="14.25" customHeight="1" x14ac:dyDescent="0.2">
      <c r="B72" s="86"/>
      <c r="C72" s="85"/>
      <c r="D72" s="85"/>
      <c r="E72" s="85"/>
      <c r="F72" s="97"/>
      <c r="G72" s="85"/>
    </row>
    <row r="73" spans="2:7" ht="14.25" customHeight="1" x14ac:dyDescent="0.2">
      <c r="B73" s="86"/>
      <c r="C73" s="85"/>
      <c r="D73" s="85"/>
      <c r="E73" s="85"/>
      <c r="F73" s="97"/>
      <c r="G73" s="85"/>
    </row>
    <row r="74" spans="2:7" ht="14.25" customHeight="1" x14ac:dyDescent="0.2">
      <c r="B74" s="86"/>
      <c r="C74" s="85"/>
      <c r="D74" s="85"/>
      <c r="E74" s="85"/>
      <c r="F74" s="97"/>
      <c r="G74" s="85"/>
    </row>
    <row r="75" spans="2:7" ht="14.25" customHeight="1" x14ac:dyDescent="0.2">
      <c r="B75" s="86"/>
      <c r="C75" s="85"/>
      <c r="D75" s="85"/>
      <c r="E75" s="85"/>
      <c r="F75" s="97"/>
      <c r="G75" s="85"/>
    </row>
    <row r="76" spans="2:7" ht="14.25" customHeight="1" x14ac:dyDescent="0.2">
      <c r="B76" s="86"/>
      <c r="C76" s="85"/>
      <c r="D76" s="85"/>
      <c r="E76" s="85"/>
      <c r="F76" s="97"/>
      <c r="G76" s="85"/>
    </row>
    <row r="77" spans="2:7" ht="14.25" customHeight="1" x14ac:dyDescent="0.2">
      <c r="B77" s="86"/>
      <c r="C77" s="85"/>
      <c r="D77" s="85"/>
      <c r="E77" s="85"/>
      <c r="F77" s="97"/>
      <c r="G77" s="85"/>
    </row>
    <row r="78" spans="2:7" ht="14.25" customHeight="1" x14ac:dyDescent="0.2">
      <c r="B78" s="86"/>
      <c r="C78" s="85"/>
      <c r="D78" s="85"/>
      <c r="E78" s="85"/>
      <c r="F78" s="97"/>
      <c r="G78" s="85"/>
    </row>
    <row r="79" spans="2:7" ht="14.25" customHeight="1" x14ac:dyDescent="0.2">
      <c r="B79" s="86"/>
      <c r="C79" s="85"/>
      <c r="D79" s="85"/>
      <c r="E79" s="85"/>
      <c r="F79" s="97"/>
      <c r="G79" s="85"/>
    </row>
    <row r="80" spans="2:7" ht="14.25" customHeight="1" x14ac:dyDescent="0.2">
      <c r="B80" s="86"/>
      <c r="C80" s="85"/>
      <c r="D80" s="85"/>
      <c r="E80" s="85"/>
      <c r="F80" s="97"/>
      <c r="G80" s="85"/>
    </row>
    <row r="81" spans="2:7" ht="14.25" customHeight="1" x14ac:dyDescent="0.2">
      <c r="B81" s="86"/>
      <c r="C81" s="85"/>
      <c r="D81" s="85"/>
      <c r="E81" s="85"/>
      <c r="F81" s="97"/>
      <c r="G81" s="85"/>
    </row>
    <row r="82" spans="2:7" ht="14.25" customHeight="1" x14ac:dyDescent="0.2">
      <c r="B82" s="86"/>
      <c r="C82" s="85"/>
      <c r="D82" s="85"/>
      <c r="E82" s="85"/>
      <c r="F82" s="97"/>
      <c r="G82" s="85"/>
    </row>
    <row r="83" spans="2:7" ht="14.25" customHeight="1" x14ac:dyDescent="0.2">
      <c r="B83" s="86"/>
      <c r="C83" s="85"/>
      <c r="D83" s="85"/>
      <c r="E83" s="85"/>
      <c r="F83" s="97"/>
      <c r="G83" s="85"/>
    </row>
    <row r="84" spans="2:7" ht="14.25" customHeight="1" x14ac:dyDescent="0.2">
      <c r="B84" s="86"/>
      <c r="C84" s="85"/>
      <c r="D84" s="85"/>
      <c r="E84" s="85"/>
      <c r="F84" s="97"/>
      <c r="G84" s="85"/>
    </row>
    <row r="85" spans="2:7" ht="14.25" customHeight="1" x14ac:dyDescent="0.2">
      <c r="B85" s="86"/>
      <c r="C85" s="85"/>
      <c r="D85" s="85"/>
      <c r="E85" s="85"/>
      <c r="F85" s="97"/>
      <c r="G85" s="85"/>
    </row>
    <row r="86" spans="2:7" ht="14.25" customHeight="1" x14ac:dyDescent="0.2">
      <c r="B86" s="86"/>
      <c r="C86" s="85"/>
      <c r="D86" s="85"/>
      <c r="E86" s="85"/>
      <c r="F86" s="97"/>
      <c r="G86" s="85"/>
    </row>
    <row r="87" spans="2:7" ht="14.25" customHeight="1" x14ac:dyDescent="0.2">
      <c r="B87" s="86"/>
      <c r="C87" s="85"/>
      <c r="D87" s="85"/>
      <c r="E87" s="85"/>
      <c r="F87" s="97"/>
      <c r="G87" s="85"/>
    </row>
    <row r="88" spans="2:7" ht="14.25" customHeight="1" x14ac:dyDescent="0.2">
      <c r="B88" s="86"/>
      <c r="C88" s="85"/>
      <c r="D88" s="85"/>
      <c r="E88" s="85"/>
      <c r="F88" s="97"/>
      <c r="G88" s="85"/>
    </row>
    <row r="89" spans="2:7" ht="14.25" customHeight="1" x14ac:dyDescent="0.2">
      <c r="B89" s="86"/>
      <c r="C89" s="85"/>
      <c r="D89" s="85"/>
      <c r="E89" s="85"/>
      <c r="F89" s="97"/>
      <c r="G89" s="85"/>
    </row>
    <row r="90" spans="2:7" ht="14.25" customHeight="1" x14ac:dyDescent="0.2">
      <c r="B90" s="86"/>
      <c r="C90" s="85"/>
      <c r="D90" s="85"/>
      <c r="E90" s="85"/>
      <c r="F90" s="97"/>
      <c r="G90" s="85"/>
    </row>
    <row r="91" spans="2:7" ht="14.25" customHeight="1" x14ac:dyDescent="0.2">
      <c r="B91" s="86"/>
      <c r="C91" s="85"/>
      <c r="D91" s="85"/>
      <c r="E91" s="85"/>
      <c r="F91" s="97"/>
      <c r="G91" s="85"/>
    </row>
    <row r="92" spans="2:7" ht="14.25" customHeight="1" x14ac:dyDescent="0.2">
      <c r="B92" s="86"/>
      <c r="C92" s="85"/>
      <c r="D92" s="85"/>
      <c r="E92" s="85"/>
      <c r="F92" s="97"/>
      <c r="G92" s="85"/>
    </row>
    <row r="93" spans="2:7" ht="14.25" customHeight="1" x14ac:dyDescent="0.2">
      <c r="B93" s="86"/>
      <c r="C93" s="85"/>
      <c r="D93" s="85"/>
      <c r="E93" s="85"/>
      <c r="F93" s="97"/>
      <c r="G93" s="85"/>
    </row>
    <row r="94" spans="2:7" ht="14.25" customHeight="1" x14ac:dyDescent="0.2">
      <c r="B94" s="86"/>
      <c r="C94" s="85"/>
      <c r="D94" s="85"/>
      <c r="E94" s="85"/>
      <c r="F94" s="97"/>
      <c r="G94" s="85"/>
    </row>
    <row r="95" spans="2:7" ht="14.25" customHeight="1" x14ac:dyDescent="0.2">
      <c r="B95" s="86"/>
      <c r="C95" s="85"/>
      <c r="D95" s="85"/>
      <c r="E95" s="85"/>
      <c r="F95" s="97"/>
      <c r="G95" s="85"/>
    </row>
    <row r="96" spans="2:7" ht="14.25" customHeight="1" x14ac:dyDescent="0.2">
      <c r="B96" s="86"/>
      <c r="C96" s="85"/>
      <c r="D96" s="85"/>
      <c r="E96" s="85"/>
      <c r="F96" s="97"/>
      <c r="G96" s="85"/>
    </row>
    <row r="97" spans="2:7" ht="14.25" customHeight="1" x14ac:dyDescent="0.2">
      <c r="B97" s="86"/>
      <c r="C97" s="85"/>
      <c r="D97" s="85"/>
      <c r="E97" s="85"/>
      <c r="F97" s="97"/>
      <c r="G97" s="85"/>
    </row>
    <row r="98" spans="2:7" ht="14.25" customHeight="1" x14ac:dyDescent="0.2">
      <c r="B98" s="86"/>
      <c r="C98" s="85"/>
      <c r="D98" s="85"/>
      <c r="E98" s="85"/>
      <c r="F98" s="97"/>
      <c r="G98" s="85"/>
    </row>
    <row r="99" spans="2:7" ht="14.25" customHeight="1" x14ac:dyDescent="0.2">
      <c r="B99" s="86"/>
      <c r="C99" s="85"/>
      <c r="D99" s="85"/>
      <c r="E99" s="85"/>
      <c r="F99" s="97"/>
      <c r="G99" s="85"/>
    </row>
    <row r="100" spans="2:7" ht="14.25" customHeight="1" x14ac:dyDescent="0.2">
      <c r="B100" s="86"/>
      <c r="C100" s="85"/>
      <c r="D100" s="85"/>
      <c r="E100" s="85"/>
      <c r="F100" s="97"/>
      <c r="G100" s="85"/>
    </row>
  </sheetData>
  <mergeCells count="5">
    <mergeCell ref="B3:E3"/>
    <mergeCell ref="B4:E4"/>
    <mergeCell ref="B5:E5"/>
    <mergeCell ref="B13:B15"/>
    <mergeCell ref="C13:C15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8000"/>
  </sheetPr>
  <dimension ref="B1:G100"/>
  <sheetViews>
    <sheetView workbookViewId="0">
      <selection activeCell="G9" sqref="G9"/>
    </sheetView>
  </sheetViews>
  <sheetFormatPr baseColWidth="10" defaultColWidth="14.5" defaultRowHeight="15" customHeight="1" x14ac:dyDescent="0.2"/>
  <cols>
    <col min="1" max="1" width="8" customWidth="1"/>
    <col min="2" max="2" width="9.1640625" customWidth="1"/>
    <col min="3" max="3" width="32.33203125" customWidth="1"/>
    <col min="4" max="4" width="12.33203125" customWidth="1"/>
    <col min="5" max="5" width="14.83203125" customWidth="1"/>
    <col min="6" max="6" width="9.5" customWidth="1"/>
    <col min="7" max="11" width="8" customWidth="1"/>
  </cols>
  <sheetData>
    <row r="1" spans="2:7" ht="14.25" customHeight="1" x14ac:dyDescent="0.2">
      <c r="B1" s="57"/>
      <c r="C1" s="56"/>
      <c r="D1" s="56"/>
      <c r="E1" s="56"/>
      <c r="F1" s="88"/>
    </row>
    <row r="2" spans="2:7" ht="14.25" customHeight="1" x14ac:dyDescent="0.2">
      <c r="B2" s="57"/>
      <c r="C2" s="56"/>
      <c r="D2" s="56"/>
      <c r="E2" s="56"/>
      <c r="F2" s="88"/>
    </row>
    <row r="3" spans="2:7" ht="14.25" customHeight="1" x14ac:dyDescent="0.2">
      <c r="B3" s="483" t="s">
        <v>417</v>
      </c>
      <c r="C3" s="453"/>
      <c r="D3" s="453"/>
      <c r="E3" s="453"/>
      <c r="F3" s="88"/>
    </row>
    <row r="4" spans="2:7" ht="14.25" customHeight="1" x14ac:dyDescent="0.2">
      <c r="B4" s="488" t="s">
        <v>418</v>
      </c>
      <c r="C4" s="453"/>
      <c r="D4" s="453"/>
      <c r="E4" s="453"/>
      <c r="F4" s="88"/>
    </row>
    <row r="5" spans="2:7" ht="14.25" customHeight="1" x14ac:dyDescent="0.2">
      <c r="B5" s="489" t="s">
        <v>465</v>
      </c>
      <c r="C5" s="453"/>
      <c r="D5" s="453"/>
      <c r="E5" s="453"/>
      <c r="F5" s="88"/>
    </row>
    <row r="6" spans="2:7" ht="15" customHeight="1" x14ac:dyDescent="0.2">
      <c r="B6" s="57"/>
      <c r="C6" s="56"/>
      <c r="D6" s="56"/>
      <c r="E6" s="56"/>
      <c r="F6" s="88"/>
    </row>
    <row r="7" spans="2:7" ht="23.25" customHeight="1" x14ac:dyDescent="0.2">
      <c r="B7" s="59" t="s">
        <v>422</v>
      </c>
      <c r="C7" s="60" t="s">
        <v>423</v>
      </c>
      <c r="D7" s="61" t="s">
        <v>424</v>
      </c>
      <c r="E7" s="62"/>
      <c r="F7" s="88"/>
    </row>
    <row r="8" spans="2:7" ht="34.5" customHeight="1" x14ac:dyDescent="0.2">
      <c r="B8" s="59">
        <v>1</v>
      </c>
      <c r="C8" s="60" t="s">
        <v>449</v>
      </c>
      <c r="D8" s="61" t="s">
        <v>450</v>
      </c>
      <c r="E8" s="89">
        <f>43099.1</f>
        <v>43099.1</v>
      </c>
      <c r="F8" s="90"/>
      <c r="G8" t="s">
        <v>681</v>
      </c>
    </row>
    <row r="9" spans="2:7" ht="22.5" customHeight="1" x14ac:dyDescent="0.2">
      <c r="B9" s="91">
        <v>2</v>
      </c>
      <c r="C9" s="64" t="s">
        <v>451</v>
      </c>
      <c r="D9" s="64" t="s">
        <v>433</v>
      </c>
      <c r="E9" s="92">
        <v>50544</v>
      </c>
      <c r="F9" s="90"/>
      <c r="G9" t="s">
        <v>679</v>
      </c>
    </row>
    <row r="10" spans="2:7" ht="14.25" customHeight="1" x14ac:dyDescent="0.2">
      <c r="B10" s="70"/>
      <c r="C10" s="68"/>
      <c r="D10" s="68"/>
      <c r="E10" s="70"/>
      <c r="F10" s="90"/>
      <c r="G10" t="s">
        <v>680</v>
      </c>
    </row>
    <row r="11" spans="2:7" ht="14.25" customHeight="1" x14ac:dyDescent="0.2">
      <c r="B11" s="93"/>
      <c r="C11" s="94"/>
      <c r="D11" s="94"/>
      <c r="E11" s="93"/>
      <c r="F11" s="90"/>
    </row>
    <row r="12" spans="2:7" ht="15" customHeight="1" x14ac:dyDescent="0.2">
      <c r="B12" s="95">
        <v>3</v>
      </c>
      <c r="C12" s="75" t="s">
        <v>456</v>
      </c>
      <c r="D12" s="75" t="s">
        <v>433</v>
      </c>
      <c r="E12" s="95">
        <f>E9*F12</f>
        <v>6065.28</v>
      </c>
      <c r="F12" s="90">
        <v>0.12</v>
      </c>
    </row>
    <row r="13" spans="2:7" ht="14.25" customHeight="1" x14ac:dyDescent="0.2">
      <c r="B13" s="486">
        <v>4</v>
      </c>
      <c r="C13" s="487" t="s">
        <v>457</v>
      </c>
      <c r="D13" s="61" t="s">
        <v>458</v>
      </c>
      <c r="E13" s="89">
        <f>E9+E10+E12</f>
        <v>56609.279999999999</v>
      </c>
      <c r="F13" s="90"/>
    </row>
    <row r="14" spans="2:7" ht="14.25" customHeight="1" x14ac:dyDescent="0.2">
      <c r="B14" s="480"/>
      <c r="C14" s="480"/>
      <c r="D14" s="77"/>
      <c r="E14" s="78"/>
      <c r="F14" s="90"/>
    </row>
    <row r="15" spans="2:7" ht="15" customHeight="1" x14ac:dyDescent="0.2">
      <c r="B15" s="481"/>
      <c r="C15" s="481"/>
      <c r="D15" s="79" t="s">
        <v>460</v>
      </c>
      <c r="E15" s="80">
        <f>E13/E8</f>
        <v>1.313467798631526</v>
      </c>
      <c r="F15" s="90"/>
    </row>
    <row r="16" spans="2:7" ht="14.25" customHeight="1" x14ac:dyDescent="0.2">
      <c r="B16" s="72"/>
      <c r="C16" s="83"/>
      <c r="D16" s="83"/>
      <c r="E16" s="83"/>
      <c r="F16" s="83"/>
    </row>
    <row r="17" spans="2:6" ht="14.25" customHeight="1" x14ac:dyDescent="0.2">
      <c r="B17" s="57"/>
      <c r="C17" s="56"/>
      <c r="D17" s="56"/>
      <c r="E17" s="56"/>
      <c r="F17" s="88"/>
    </row>
    <row r="18" spans="2:6" ht="14.25" customHeight="1" x14ac:dyDescent="0.2">
      <c r="B18" s="57"/>
      <c r="C18" s="56"/>
      <c r="D18" s="56"/>
      <c r="E18" s="56"/>
      <c r="F18" s="88"/>
    </row>
    <row r="19" spans="2:6" ht="14.25" customHeight="1" x14ac:dyDescent="0.2">
      <c r="B19" s="57"/>
      <c r="C19" s="56"/>
      <c r="D19" s="56"/>
      <c r="E19" s="56"/>
      <c r="F19" s="88"/>
    </row>
    <row r="20" spans="2:6" ht="14.25" customHeight="1" x14ac:dyDescent="0.2">
      <c r="B20" s="57"/>
      <c r="C20" s="56"/>
      <c r="D20" s="56"/>
      <c r="E20" s="56"/>
      <c r="F20" s="88"/>
    </row>
    <row r="21" spans="2:6" ht="14.25" customHeight="1" x14ac:dyDescent="0.2">
      <c r="B21" s="57"/>
      <c r="C21" s="56"/>
      <c r="D21" s="56"/>
      <c r="E21" s="56"/>
      <c r="F21" s="88"/>
    </row>
    <row r="22" spans="2:6" ht="14.25" customHeight="1" x14ac:dyDescent="0.2">
      <c r="B22" s="57"/>
      <c r="C22" s="56"/>
      <c r="D22" s="56"/>
      <c r="E22" s="56"/>
      <c r="F22" s="88"/>
    </row>
    <row r="23" spans="2:6" ht="14.25" customHeight="1" x14ac:dyDescent="0.2">
      <c r="B23" s="57"/>
      <c r="C23" s="56"/>
      <c r="D23" s="56"/>
      <c r="E23" s="56"/>
      <c r="F23" s="88"/>
    </row>
    <row r="24" spans="2:6" ht="14.25" customHeight="1" x14ac:dyDescent="0.2">
      <c r="B24" s="57"/>
      <c r="C24" s="56"/>
      <c r="D24" s="56"/>
      <c r="E24" s="56"/>
      <c r="F24" s="88"/>
    </row>
    <row r="25" spans="2:6" ht="14.25" customHeight="1" x14ac:dyDescent="0.2">
      <c r="B25" s="57"/>
      <c r="C25" s="56"/>
      <c r="D25" s="56"/>
      <c r="E25" s="56"/>
      <c r="F25" s="88"/>
    </row>
    <row r="26" spans="2:6" ht="14.25" customHeight="1" x14ac:dyDescent="0.2">
      <c r="B26" s="57"/>
      <c r="C26" s="56"/>
      <c r="D26" s="56"/>
      <c r="E26" s="56"/>
      <c r="F26" s="88"/>
    </row>
    <row r="27" spans="2:6" ht="14.25" customHeight="1" x14ac:dyDescent="0.2">
      <c r="B27" s="57"/>
      <c r="C27" s="56"/>
      <c r="D27" s="56"/>
      <c r="E27" s="56"/>
      <c r="F27" s="88"/>
    </row>
    <row r="28" spans="2:6" ht="14.25" customHeight="1" x14ac:dyDescent="0.2">
      <c r="B28" s="57"/>
      <c r="C28" s="56"/>
      <c r="D28" s="56"/>
      <c r="E28" s="56"/>
      <c r="F28" s="88"/>
    </row>
    <row r="29" spans="2:6" ht="14.25" customHeight="1" x14ac:dyDescent="0.2">
      <c r="B29" s="57"/>
      <c r="C29" s="56"/>
      <c r="D29" s="56"/>
      <c r="E29" s="56"/>
      <c r="F29" s="88"/>
    </row>
    <row r="30" spans="2:6" ht="14.25" customHeight="1" x14ac:dyDescent="0.2">
      <c r="B30" s="57"/>
      <c r="C30" s="56"/>
      <c r="D30" s="56"/>
      <c r="E30" s="56"/>
      <c r="F30" s="88"/>
    </row>
    <row r="31" spans="2:6" ht="14.25" customHeight="1" x14ac:dyDescent="0.2">
      <c r="B31" s="57"/>
      <c r="C31" s="56"/>
      <c r="D31" s="56"/>
      <c r="E31" s="56"/>
      <c r="F31" s="88"/>
    </row>
    <row r="32" spans="2:6" ht="14.25" customHeight="1" x14ac:dyDescent="0.2">
      <c r="B32" s="86"/>
      <c r="C32" s="85"/>
      <c r="D32" s="85"/>
      <c r="E32" s="85"/>
      <c r="F32" s="97"/>
    </row>
    <row r="33" spans="2:6" ht="14.25" customHeight="1" x14ac:dyDescent="0.2">
      <c r="B33" s="86"/>
      <c r="C33" s="85"/>
      <c r="D33" s="85"/>
      <c r="E33" s="85"/>
      <c r="F33" s="97"/>
    </row>
    <row r="34" spans="2:6" ht="14.25" customHeight="1" x14ac:dyDescent="0.2">
      <c r="B34" s="86"/>
      <c r="C34" s="85"/>
      <c r="D34" s="85"/>
      <c r="E34" s="85"/>
      <c r="F34" s="97"/>
    </row>
    <row r="35" spans="2:6" ht="14.25" customHeight="1" x14ac:dyDescent="0.2">
      <c r="B35" s="86"/>
      <c r="C35" s="85"/>
      <c r="D35" s="85"/>
      <c r="E35" s="85"/>
      <c r="F35" s="97"/>
    </row>
    <row r="36" spans="2:6" ht="14.25" customHeight="1" x14ac:dyDescent="0.2">
      <c r="B36" s="86"/>
      <c r="C36" s="85"/>
      <c r="D36" s="85"/>
      <c r="E36" s="85"/>
      <c r="F36" s="97"/>
    </row>
    <row r="37" spans="2:6" ht="14.25" customHeight="1" x14ac:dyDescent="0.2">
      <c r="B37" s="86"/>
      <c r="C37" s="85"/>
      <c r="D37" s="85"/>
      <c r="E37" s="85"/>
      <c r="F37" s="97"/>
    </row>
    <row r="38" spans="2:6" ht="14.25" customHeight="1" x14ac:dyDescent="0.2">
      <c r="B38" s="86"/>
      <c r="C38" s="85"/>
      <c r="D38" s="85"/>
      <c r="E38" s="85"/>
      <c r="F38" s="97"/>
    </row>
    <row r="39" spans="2:6" ht="14.25" customHeight="1" x14ac:dyDescent="0.2">
      <c r="B39" s="86"/>
      <c r="C39" s="85"/>
      <c r="D39" s="85"/>
      <c r="E39" s="85"/>
      <c r="F39" s="97"/>
    </row>
    <row r="40" spans="2:6" ht="14.25" customHeight="1" x14ac:dyDescent="0.2">
      <c r="B40" s="86"/>
      <c r="C40" s="85"/>
      <c r="D40" s="85"/>
      <c r="E40" s="85"/>
      <c r="F40" s="97"/>
    </row>
    <row r="41" spans="2:6" ht="14.25" customHeight="1" x14ac:dyDescent="0.2">
      <c r="B41" s="86"/>
      <c r="C41" s="85"/>
      <c r="D41" s="85"/>
      <c r="E41" s="85"/>
      <c r="F41" s="97"/>
    </row>
    <row r="42" spans="2:6" ht="14.25" customHeight="1" x14ac:dyDescent="0.2">
      <c r="B42" s="86"/>
      <c r="C42" s="85"/>
      <c r="D42" s="85"/>
      <c r="E42" s="85"/>
      <c r="F42" s="97"/>
    </row>
    <row r="43" spans="2:6" ht="14.25" customHeight="1" x14ac:dyDescent="0.2">
      <c r="B43" s="86"/>
      <c r="C43" s="85"/>
      <c r="D43" s="85"/>
      <c r="E43" s="85"/>
      <c r="F43" s="97"/>
    </row>
    <row r="44" spans="2:6" ht="14.25" customHeight="1" x14ac:dyDescent="0.2">
      <c r="B44" s="86"/>
      <c r="C44" s="85"/>
      <c r="D44" s="85"/>
      <c r="E44" s="85"/>
      <c r="F44" s="97"/>
    </row>
    <row r="45" spans="2:6" ht="14.25" customHeight="1" x14ac:dyDescent="0.2">
      <c r="B45" s="86"/>
      <c r="C45" s="85"/>
      <c r="D45" s="85"/>
      <c r="E45" s="85"/>
      <c r="F45" s="97"/>
    </row>
    <row r="46" spans="2:6" ht="14.25" customHeight="1" x14ac:dyDescent="0.2">
      <c r="B46" s="86"/>
      <c r="C46" s="85"/>
      <c r="D46" s="85"/>
      <c r="E46" s="85"/>
      <c r="F46" s="97"/>
    </row>
    <row r="47" spans="2:6" ht="14.25" customHeight="1" x14ac:dyDescent="0.2">
      <c r="B47" s="86"/>
      <c r="C47" s="85"/>
      <c r="D47" s="85"/>
      <c r="E47" s="85"/>
      <c r="F47" s="97"/>
    </row>
    <row r="48" spans="2:6" ht="14.25" customHeight="1" x14ac:dyDescent="0.2">
      <c r="B48" s="86"/>
      <c r="C48" s="85"/>
      <c r="D48" s="85"/>
      <c r="E48" s="85"/>
      <c r="F48" s="97"/>
    </row>
    <row r="49" spans="2:6" ht="14.25" customHeight="1" x14ac:dyDescent="0.2">
      <c r="B49" s="86"/>
      <c r="C49" s="85"/>
      <c r="D49" s="85"/>
      <c r="E49" s="85"/>
      <c r="F49" s="97"/>
    </row>
    <row r="50" spans="2:6" ht="14.25" customHeight="1" x14ac:dyDescent="0.2">
      <c r="B50" s="86"/>
      <c r="C50" s="85"/>
      <c r="D50" s="85"/>
      <c r="E50" s="85"/>
      <c r="F50" s="97"/>
    </row>
    <row r="51" spans="2:6" ht="14.25" customHeight="1" x14ac:dyDescent="0.2">
      <c r="B51" s="86"/>
      <c r="C51" s="85"/>
      <c r="D51" s="85"/>
      <c r="E51" s="85"/>
      <c r="F51" s="97"/>
    </row>
    <row r="52" spans="2:6" ht="14.25" customHeight="1" x14ac:dyDescent="0.2">
      <c r="B52" s="86"/>
      <c r="C52" s="85"/>
      <c r="D52" s="85"/>
      <c r="E52" s="85"/>
      <c r="F52" s="97"/>
    </row>
    <row r="53" spans="2:6" ht="14.25" customHeight="1" x14ac:dyDescent="0.2">
      <c r="B53" s="86"/>
      <c r="C53" s="85"/>
      <c r="D53" s="85"/>
      <c r="E53" s="85"/>
      <c r="F53" s="97"/>
    </row>
    <row r="54" spans="2:6" ht="14.25" customHeight="1" x14ac:dyDescent="0.2">
      <c r="B54" s="86"/>
      <c r="C54" s="85"/>
      <c r="D54" s="85"/>
      <c r="E54" s="85"/>
      <c r="F54" s="97"/>
    </row>
    <row r="55" spans="2:6" ht="14.25" customHeight="1" x14ac:dyDescent="0.2">
      <c r="B55" s="86"/>
      <c r="C55" s="85"/>
      <c r="D55" s="85"/>
      <c r="E55" s="85"/>
      <c r="F55" s="97"/>
    </row>
    <row r="56" spans="2:6" ht="14.25" customHeight="1" x14ac:dyDescent="0.2">
      <c r="B56" s="86"/>
      <c r="C56" s="85"/>
      <c r="D56" s="85"/>
      <c r="E56" s="85"/>
      <c r="F56" s="97"/>
    </row>
    <row r="57" spans="2:6" ht="14.25" customHeight="1" x14ac:dyDescent="0.2">
      <c r="B57" s="86"/>
      <c r="C57" s="85"/>
      <c r="D57" s="85"/>
      <c r="E57" s="85"/>
      <c r="F57" s="97"/>
    </row>
    <row r="58" spans="2:6" ht="14.25" customHeight="1" x14ac:dyDescent="0.2">
      <c r="B58" s="86"/>
      <c r="C58" s="85"/>
      <c r="D58" s="85"/>
      <c r="E58" s="85"/>
      <c r="F58" s="97"/>
    </row>
    <row r="59" spans="2:6" ht="14.25" customHeight="1" x14ac:dyDescent="0.2">
      <c r="B59" s="86"/>
      <c r="C59" s="85"/>
      <c r="D59" s="85"/>
      <c r="E59" s="85"/>
      <c r="F59" s="97"/>
    </row>
    <row r="60" spans="2:6" ht="14.25" customHeight="1" x14ac:dyDescent="0.2">
      <c r="B60" s="86"/>
      <c r="C60" s="85"/>
      <c r="D60" s="85"/>
      <c r="E60" s="85"/>
      <c r="F60" s="97"/>
    </row>
    <row r="61" spans="2:6" ht="14.25" customHeight="1" x14ac:dyDescent="0.2">
      <c r="B61" s="86"/>
      <c r="C61" s="85"/>
      <c r="D61" s="85"/>
      <c r="E61" s="85"/>
      <c r="F61" s="97"/>
    </row>
    <row r="62" spans="2:6" ht="14.25" customHeight="1" x14ac:dyDescent="0.2">
      <c r="B62" s="86"/>
      <c r="C62" s="85"/>
      <c r="D62" s="85"/>
      <c r="E62" s="85"/>
      <c r="F62" s="97"/>
    </row>
    <row r="63" spans="2:6" ht="14.25" customHeight="1" x14ac:dyDescent="0.2">
      <c r="B63" s="86"/>
      <c r="C63" s="85"/>
      <c r="D63" s="85"/>
      <c r="E63" s="85"/>
      <c r="F63" s="97"/>
    </row>
    <row r="64" spans="2:6" ht="14.25" customHeight="1" x14ac:dyDescent="0.2">
      <c r="B64" s="86"/>
      <c r="C64" s="85"/>
      <c r="D64" s="85"/>
      <c r="E64" s="85"/>
      <c r="F64" s="97"/>
    </row>
    <row r="65" spans="2:6" ht="14.25" customHeight="1" x14ac:dyDescent="0.2">
      <c r="B65" s="86"/>
      <c r="C65" s="85"/>
      <c r="D65" s="85"/>
      <c r="E65" s="85"/>
      <c r="F65" s="97"/>
    </row>
    <row r="66" spans="2:6" ht="14.25" customHeight="1" x14ac:dyDescent="0.2">
      <c r="B66" s="86"/>
      <c r="C66" s="85"/>
      <c r="D66" s="85"/>
      <c r="E66" s="85"/>
      <c r="F66" s="97"/>
    </row>
    <row r="67" spans="2:6" ht="14.25" customHeight="1" x14ac:dyDescent="0.2">
      <c r="B67" s="86"/>
      <c r="C67" s="85"/>
      <c r="D67" s="85"/>
      <c r="E67" s="85"/>
      <c r="F67" s="97"/>
    </row>
    <row r="68" spans="2:6" ht="14.25" customHeight="1" x14ac:dyDescent="0.2">
      <c r="B68" s="86"/>
      <c r="C68" s="85"/>
      <c r="D68" s="85"/>
      <c r="E68" s="85"/>
      <c r="F68" s="97"/>
    </row>
    <row r="69" spans="2:6" ht="14.25" customHeight="1" x14ac:dyDescent="0.2">
      <c r="B69" s="86"/>
      <c r="C69" s="85"/>
      <c r="D69" s="85"/>
      <c r="E69" s="85"/>
      <c r="F69" s="97"/>
    </row>
    <row r="70" spans="2:6" ht="14.25" customHeight="1" x14ac:dyDescent="0.2">
      <c r="B70" s="86"/>
      <c r="C70" s="85"/>
      <c r="D70" s="85"/>
      <c r="E70" s="85"/>
      <c r="F70" s="97"/>
    </row>
    <row r="71" spans="2:6" ht="14.25" customHeight="1" x14ac:dyDescent="0.2">
      <c r="B71" s="86"/>
      <c r="C71" s="85"/>
      <c r="D71" s="85"/>
      <c r="E71" s="85"/>
      <c r="F71" s="97"/>
    </row>
    <row r="72" spans="2:6" ht="14.25" customHeight="1" x14ac:dyDescent="0.2">
      <c r="B72" s="86"/>
      <c r="C72" s="85"/>
      <c r="D72" s="85"/>
      <c r="E72" s="85"/>
      <c r="F72" s="97"/>
    </row>
    <row r="73" spans="2:6" ht="14.25" customHeight="1" x14ac:dyDescent="0.2">
      <c r="B73" s="86"/>
      <c r="C73" s="85"/>
      <c r="D73" s="85"/>
      <c r="E73" s="85"/>
      <c r="F73" s="97"/>
    </row>
    <row r="74" spans="2:6" ht="14.25" customHeight="1" x14ac:dyDescent="0.2">
      <c r="B74" s="86"/>
      <c r="C74" s="85"/>
      <c r="D74" s="85"/>
      <c r="E74" s="85"/>
      <c r="F74" s="97"/>
    </row>
    <row r="75" spans="2:6" ht="14.25" customHeight="1" x14ac:dyDescent="0.2">
      <c r="B75" s="86"/>
      <c r="C75" s="85"/>
      <c r="D75" s="85"/>
      <c r="E75" s="85"/>
      <c r="F75" s="97"/>
    </row>
    <row r="76" spans="2:6" ht="14.25" customHeight="1" x14ac:dyDescent="0.2">
      <c r="B76" s="86"/>
      <c r="C76" s="85"/>
      <c r="D76" s="85"/>
      <c r="E76" s="85"/>
      <c r="F76" s="97"/>
    </row>
    <row r="77" spans="2:6" ht="14.25" customHeight="1" x14ac:dyDescent="0.2">
      <c r="B77" s="86"/>
      <c r="C77" s="85"/>
      <c r="D77" s="85"/>
      <c r="E77" s="85"/>
      <c r="F77" s="97"/>
    </row>
    <row r="78" spans="2:6" ht="14.25" customHeight="1" x14ac:dyDescent="0.2">
      <c r="B78" s="86"/>
      <c r="C78" s="85"/>
      <c r="D78" s="85"/>
      <c r="E78" s="85"/>
      <c r="F78" s="97"/>
    </row>
    <row r="79" spans="2:6" ht="14.25" customHeight="1" x14ac:dyDescent="0.2">
      <c r="B79" s="86"/>
      <c r="C79" s="85"/>
      <c r="D79" s="85"/>
      <c r="E79" s="85"/>
      <c r="F79" s="97"/>
    </row>
    <row r="80" spans="2:6" ht="14.25" customHeight="1" x14ac:dyDescent="0.2">
      <c r="B80" s="86"/>
      <c r="C80" s="85"/>
      <c r="D80" s="85"/>
      <c r="E80" s="85"/>
      <c r="F80" s="97"/>
    </row>
    <row r="81" spans="2:6" ht="14.25" customHeight="1" x14ac:dyDescent="0.2">
      <c r="B81" s="86"/>
      <c r="C81" s="85"/>
      <c r="D81" s="85"/>
      <c r="E81" s="85"/>
      <c r="F81" s="97"/>
    </row>
    <row r="82" spans="2:6" ht="14.25" customHeight="1" x14ac:dyDescent="0.2">
      <c r="B82" s="86"/>
      <c r="C82" s="85"/>
      <c r="D82" s="85"/>
      <c r="E82" s="85"/>
      <c r="F82" s="97"/>
    </row>
    <row r="83" spans="2:6" ht="14.25" customHeight="1" x14ac:dyDescent="0.2">
      <c r="B83" s="86"/>
      <c r="C83" s="85"/>
      <c r="D83" s="85"/>
      <c r="E83" s="85"/>
      <c r="F83" s="97"/>
    </row>
    <row r="84" spans="2:6" ht="14.25" customHeight="1" x14ac:dyDescent="0.2">
      <c r="B84" s="86"/>
      <c r="C84" s="85"/>
      <c r="D84" s="85"/>
      <c r="E84" s="85"/>
      <c r="F84" s="97"/>
    </row>
    <row r="85" spans="2:6" ht="14.25" customHeight="1" x14ac:dyDescent="0.2">
      <c r="B85" s="86"/>
      <c r="C85" s="85"/>
      <c r="D85" s="85"/>
      <c r="E85" s="85"/>
      <c r="F85" s="97"/>
    </row>
    <row r="86" spans="2:6" ht="14.25" customHeight="1" x14ac:dyDescent="0.2">
      <c r="B86" s="86"/>
      <c r="C86" s="85"/>
      <c r="D86" s="85"/>
      <c r="E86" s="85"/>
      <c r="F86" s="97"/>
    </row>
    <row r="87" spans="2:6" ht="14.25" customHeight="1" x14ac:dyDescent="0.2">
      <c r="B87" s="86"/>
      <c r="C87" s="85"/>
      <c r="D87" s="85"/>
      <c r="E87" s="85"/>
      <c r="F87" s="97"/>
    </row>
    <row r="88" spans="2:6" ht="14.25" customHeight="1" x14ac:dyDescent="0.2">
      <c r="B88" s="86"/>
      <c r="C88" s="85"/>
      <c r="D88" s="85"/>
      <c r="E88" s="85"/>
      <c r="F88" s="97"/>
    </row>
    <row r="89" spans="2:6" ht="14.25" customHeight="1" x14ac:dyDescent="0.2">
      <c r="B89" s="86"/>
      <c r="C89" s="85"/>
      <c r="D89" s="85"/>
      <c r="E89" s="85"/>
      <c r="F89" s="97"/>
    </row>
    <row r="90" spans="2:6" ht="14.25" customHeight="1" x14ac:dyDescent="0.2">
      <c r="B90" s="86"/>
      <c r="C90" s="85"/>
      <c r="D90" s="85"/>
      <c r="E90" s="85"/>
      <c r="F90" s="97"/>
    </row>
    <row r="91" spans="2:6" ht="14.25" customHeight="1" x14ac:dyDescent="0.2">
      <c r="B91" s="86"/>
      <c r="C91" s="85"/>
      <c r="D91" s="85"/>
      <c r="E91" s="85"/>
      <c r="F91" s="97"/>
    </row>
    <row r="92" spans="2:6" ht="14.25" customHeight="1" x14ac:dyDescent="0.2">
      <c r="B92" s="86"/>
      <c r="C92" s="85"/>
      <c r="D92" s="85"/>
      <c r="E92" s="85"/>
      <c r="F92" s="97"/>
    </row>
    <row r="93" spans="2:6" ht="14.25" customHeight="1" x14ac:dyDescent="0.2">
      <c r="B93" s="86"/>
      <c r="C93" s="85"/>
      <c r="D93" s="85"/>
      <c r="E93" s="85"/>
      <c r="F93" s="97"/>
    </row>
    <row r="94" spans="2:6" ht="14.25" customHeight="1" x14ac:dyDescent="0.2">
      <c r="B94" s="86"/>
      <c r="C94" s="85"/>
      <c r="D94" s="85"/>
      <c r="E94" s="85"/>
      <c r="F94" s="97"/>
    </row>
    <row r="95" spans="2:6" ht="14.25" customHeight="1" x14ac:dyDescent="0.2">
      <c r="B95" s="86"/>
      <c r="C95" s="85"/>
      <c r="D95" s="85"/>
      <c r="E95" s="85"/>
      <c r="F95" s="97"/>
    </row>
    <row r="96" spans="2:6" ht="14.25" customHeight="1" x14ac:dyDescent="0.2">
      <c r="B96" s="86"/>
      <c r="C96" s="85"/>
      <c r="D96" s="85"/>
      <c r="E96" s="85"/>
      <c r="F96" s="97"/>
    </row>
    <row r="97" spans="2:6" ht="14.25" customHeight="1" x14ac:dyDescent="0.2">
      <c r="B97" s="86"/>
      <c r="C97" s="85"/>
      <c r="D97" s="85"/>
      <c r="E97" s="85"/>
      <c r="F97" s="97"/>
    </row>
    <row r="98" spans="2:6" ht="14.25" customHeight="1" x14ac:dyDescent="0.2">
      <c r="B98" s="86"/>
      <c r="C98" s="85"/>
      <c r="D98" s="85"/>
      <c r="E98" s="85"/>
      <c r="F98" s="97"/>
    </row>
    <row r="99" spans="2:6" ht="14.25" customHeight="1" x14ac:dyDescent="0.2">
      <c r="B99" s="86"/>
      <c r="C99" s="85"/>
      <c r="D99" s="85"/>
      <c r="E99" s="85"/>
      <c r="F99" s="97"/>
    </row>
    <row r="100" spans="2:6" ht="14.25" customHeight="1" x14ac:dyDescent="0.2">
      <c r="B100" s="86"/>
      <c r="C100" s="85"/>
      <c r="D100" s="85"/>
      <c r="E100" s="85"/>
      <c r="F100" s="97"/>
    </row>
  </sheetData>
  <mergeCells count="5">
    <mergeCell ref="B3:E3"/>
    <mergeCell ref="B4:E4"/>
    <mergeCell ref="B5:E5"/>
    <mergeCell ref="B13:B15"/>
    <mergeCell ref="C13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0"/>
  <sheetViews>
    <sheetView topLeftCell="C59" zoomScale="150" workbookViewId="0">
      <selection activeCell="G62" sqref="G62"/>
    </sheetView>
  </sheetViews>
  <sheetFormatPr baseColWidth="10" defaultColWidth="14.5" defaultRowHeight="15" customHeight="1" x14ac:dyDescent="0.2"/>
  <cols>
    <col min="1" max="1" width="8.6640625" customWidth="1"/>
    <col min="2" max="2" width="49.5" customWidth="1"/>
    <col min="3" max="3" width="40.5" customWidth="1"/>
    <col min="4" max="4" width="15.5" customWidth="1"/>
    <col min="5" max="5" width="16.83203125" customWidth="1"/>
    <col min="6" max="7" width="16.83203125" style="445" customWidth="1"/>
    <col min="8" max="8" width="12.6640625" customWidth="1"/>
    <col min="9" max="9" width="8.83203125" customWidth="1"/>
    <col min="10" max="13" width="8" customWidth="1"/>
  </cols>
  <sheetData>
    <row r="1" spans="1:13" ht="15" customHeight="1" x14ac:dyDescent="0.2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5" customHeight="1" x14ac:dyDescent="0.2">
      <c r="A2" s="490" t="s">
        <v>466</v>
      </c>
      <c r="B2" s="453"/>
      <c r="C2" s="453"/>
      <c r="D2" s="453"/>
      <c r="E2" s="453"/>
      <c r="H2" s="99"/>
      <c r="I2" s="99"/>
      <c r="J2" s="99"/>
      <c r="K2" s="99"/>
      <c r="L2" s="99"/>
      <c r="M2" s="99"/>
    </row>
    <row r="3" spans="1:13" ht="18" customHeight="1" x14ac:dyDescent="0.2">
      <c r="A3" s="491" t="s">
        <v>467</v>
      </c>
      <c r="B3" s="453"/>
      <c r="C3" s="453"/>
      <c r="D3" s="453"/>
      <c r="E3" s="453"/>
      <c r="H3" s="100"/>
      <c r="I3" s="99"/>
      <c r="J3" s="99"/>
      <c r="K3" s="99"/>
      <c r="L3" s="99"/>
      <c r="M3" s="99"/>
    </row>
    <row r="4" spans="1:13" ht="15" customHeight="1" x14ac:dyDescent="0.2">
      <c r="A4" s="54"/>
      <c r="B4" s="101"/>
      <c r="C4" s="101"/>
      <c r="D4" s="101"/>
      <c r="E4" s="101"/>
      <c r="F4" s="101"/>
      <c r="G4" s="101"/>
      <c r="H4" s="99"/>
      <c r="I4" s="99"/>
      <c r="J4" s="99"/>
      <c r="K4" s="99"/>
      <c r="L4" s="99"/>
      <c r="M4" s="99"/>
    </row>
    <row r="5" spans="1:13" ht="53.25" customHeight="1" x14ac:dyDescent="0.2">
      <c r="A5" s="102" t="s">
        <v>468</v>
      </c>
      <c r="B5" s="103" t="s">
        <v>469</v>
      </c>
      <c r="C5" s="104" t="s">
        <v>470</v>
      </c>
      <c r="D5" s="104" t="s">
        <v>471</v>
      </c>
      <c r="E5" s="102" t="s">
        <v>472</v>
      </c>
      <c r="F5" s="508"/>
      <c r="G5" s="508"/>
      <c r="H5" s="99"/>
      <c r="I5" s="99"/>
      <c r="J5" s="99"/>
      <c r="K5" s="99"/>
      <c r="L5" s="99"/>
      <c r="M5" s="99"/>
    </row>
    <row r="6" spans="1:13" ht="27.75" customHeight="1" x14ac:dyDescent="0.2">
      <c r="A6" s="105" t="s">
        <v>473</v>
      </c>
      <c r="B6" s="106" t="s">
        <v>474</v>
      </c>
      <c r="C6" s="107"/>
      <c r="D6" s="108">
        <f t="shared" ref="D6:E6" si="0">D7+D9+D12+D15+D18+D20+D22</f>
        <v>4190387.84</v>
      </c>
      <c r="E6" s="109">
        <f t="shared" si="0"/>
        <v>7.6643591629523584</v>
      </c>
      <c r="F6" s="509"/>
      <c r="G6" s="509"/>
      <c r="H6" s="99"/>
      <c r="I6" s="99"/>
      <c r="J6" s="99"/>
      <c r="K6" s="99"/>
      <c r="L6" s="99"/>
      <c r="M6" s="99"/>
    </row>
    <row r="7" spans="1:13" ht="15" customHeight="1" x14ac:dyDescent="0.2">
      <c r="A7" s="110" t="s">
        <v>475</v>
      </c>
      <c r="B7" s="111" t="s">
        <v>476</v>
      </c>
      <c r="C7" s="112"/>
      <c r="D7" s="113">
        <f t="shared" ref="D7:E7" si="1">D8</f>
        <v>579596.93999999994</v>
      </c>
      <c r="E7" s="114">
        <f t="shared" si="1"/>
        <v>1.1200000000000001</v>
      </c>
      <c r="F7" s="509"/>
      <c r="G7" s="509"/>
      <c r="H7" s="99"/>
      <c r="I7" s="99"/>
      <c r="J7" s="99"/>
      <c r="K7" s="99"/>
      <c r="L7" s="99"/>
      <c r="M7" s="99"/>
    </row>
    <row r="8" spans="1:13" ht="54" customHeight="1" x14ac:dyDescent="0.2">
      <c r="A8" s="115" t="s">
        <v>475</v>
      </c>
      <c r="B8" s="116" t="s">
        <v>477</v>
      </c>
      <c r="C8" s="117" t="s">
        <v>81</v>
      </c>
      <c r="D8" s="118">
        <f>'План ЖИЛЬЕ'!I72+'План ЖИЛЬЕ'!I73+'План ЖИЛЬЕ'!I74+'План ЖИЛЬЕ'!I75+'План ЖИЛЬЕ'!I76+'План ЖИЛЬЕ'!I77</f>
        <v>579596.93999999994</v>
      </c>
      <c r="E8" s="119">
        <v>1.1200000000000001</v>
      </c>
      <c r="F8" s="510"/>
      <c r="G8" s="510"/>
      <c r="H8" s="99"/>
      <c r="I8" s="99"/>
      <c r="J8" s="99"/>
      <c r="K8" s="99"/>
      <c r="L8" s="99"/>
      <c r="M8" s="99"/>
    </row>
    <row r="9" spans="1:13" ht="15" customHeight="1" x14ac:dyDescent="0.2">
      <c r="A9" s="110" t="s">
        <v>478</v>
      </c>
      <c r="B9" s="111" t="s">
        <v>479</v>
      </c>
      <c r="C9" s="112"/>
      <c r="D9" s="113">
        <f t="shared" ref="D9:E9" si="2">D10+D11</f>
        <v>856255.92</v>
      </c>
      <c r="E9" s="114">
        <f t="shared" si="2"/>
        <v>1.65</v>
      </c>
      <c r="F9" s="509"/>
      <c r="G9" s="509"/>
      <c r="H9" s="99"/>
      <c r="I9" s="99"/>
      <c r="J9" s="99"/>
      <c r="K9" s="99"/>
      <c r="L9" s="99"/>
      <c r="M9" s="99"/>
    </row>
    <row r="10" spans="1:13" ht="60" customHeight="1" x14ac:dyDescent="0.2">
      <c r="A10" s="120" t="s">
        <v>480</v>
      </c>
      <c r="B10" s="121" t="s">
        <v>481</v>
      </c>
      <c r="C10" s="122" t="s">
        <v>482</v>
      </c>
      <c r="D10" s="123">
        <f>'План ЖИЛЬЕ'!I58</f>
        <v>62134.23</v>
      </c>
      <c r="E10" s="124">
        <v>0.12</v>
      </c>
      <c r="F10" s="510"/>
      <c r="G10" s="510"/>
      <c r="H10" s="99"/>
      <c r="I10" s="99"/>
      <c r="J10" s="99"/>
      <c r="K10" s="99"/>
      <c r="L10" s="99"/>
      <c r="M10" s="99"/>
    </row>
    <row r="11" spans="1:13" ht="54" customHeight="1" x14ac:dyDescent="0.2">
      <c r="A11" s="125" t="s">
        <v>483</v>
      </c>
      <c r="B11" s="126" t="s">
        <v>484</v>
      </c>
      <c r="C11" s="127" t="s">
        <v>81</v>
      </c>
      <c r="D11" s="128">
        <f>'План ЖИЛЬЕ'!I79+'План ЖИЛЬЕ'!I80+'План ЖИЛЬЕ'!I81</f>
        <v>794121.69000000006</v>
      </c>
      <c r="E11" s="129">
        <v>1.5299999999999998</v>
      </c>
      <c r="F11" s="510"/>
      <c r="G11" s="510"/>
      <c r="H11" s="99"/>
      <c r="I11" s="99"/>
      <c r="J11" s="99"/>
      <c r="K11" s="99"/>
      <c r="L11" s="99"/>
      <c r="M11" s="99"/>
    </row>
    <row r="12" spans="1:13" ht="15" customHeight="1" x14ac:dyDescent="0.2">
      <c r="A12" s="110" t="s">
        <v>485</v>
      </c>
      <c r="B12" s="111" t="s">
        <v>165</v>
      </c>
      <c r="C12" s="112"/>
      <c r="D12" s="113">
        <f t="shared" ref="D12:E12" si="3">D13+D14</f>
        <v>524051.84</v>
      </c>
      <c r="E12" s="114">
        <f t="shared" si="3"/>
        <v>0.58000000000000007</v>
      </c>
      <c r="F12" s="509"/>
      <c r="G12" s="509"/>
      <c r="H12" s="99"/>
      <c r="I12" s="99"/>
      <c r="J12" s="99"/>
      <c r="K12" s="99"/>
      <c r="L12" s="99"/>
      <c r="M12" s="99"/>
    </row>
    <row r="13" spans="1:13" ht="93" customHeight="1" x14ac:dyDescent="0.2">
      <c r="A13" s="120" t="s">
        <v>486</v>
      </c>
      <c r="B13" s="121" t="s">
        <v>487</v>
      </c>
      <c r="C13" s="130" t="s">
        <v>482</v>
      </c>
      <c r="D13" s="131">
        <f>'План ЖИЛЬЕ'!I57</f>
        <v>11704.65</v>
      </c>
      <c r="E13" s="132">
        <v>0.02</v>
      </c>
      <c r="F13" s="511"/>
      <c r="G13" s="511"/>
      <c r="H13" s="99"/>
      <c r="I13" s="99"/>
      <c r="J13" s="99"/>
      <c r="K13" s="99"/>
      <c r="L13" s="99"/>
      <c r="M13" s="99"/>
    </row>
    <row r="14" spans="1:13" ht="80.25" customHeight="1" x14ac:dyDescent="0.2">
      <c r="A14" s="125" t="s">
        <v>488</v>
      </c>
      <c r="B14" s="126" t="s">
        <v>489</v>
      </c>
      <c r="C14" s="133" t="s">
        <v>81</v>
      </c>
      <c r="D14" s="134">
        <f>'План ЖИЛЬЕ'!I44+'План ЖИЛЬЕ'!I46+'План ЖИЛЬЕ'!I47+'План ЖИЛЬЕ'!I48+'План ЖИЛЬЕ'!I51+'План ЖИЛЬЕ'!I52+'План ЖИЛЬЕ'!I93+'План ЖИЛЬЕ'!I94+'План ЖИЛЬЕ'!I96+'План ЖИЛЬЕ'!I97</f>
        <v>512347.19</v>
      </c>
      <c r="E14" s="135">
        <v>0.56000000000000005</v>
      </c>
      <c r="F14" s="511"/>
      <c r="G14" s="511"/>
      <c r="H14" s="99"/>
      <c r="I14" s="99"/>
      <c r="J14" s="99"/>
      <c r="K14" s="99"/>
      <c r="L14" s="99"/>
      <c r="M14" s="99"/>
    </row>
    <row r="15" spans="1:13" ht="15" customHeight="1" x14ac:dyDescent="0.2">
      <c r="A15" s="110" t="s">
        <v>490</v>
      </c>
      <c r="B15" s="111" t="s">
        <v>491</v>
      </c>
      <c r="C15" s="112"/>
      <c r="D15" s="113">
        <f t="shared" ref="D15:E15" si="4">D16+D17</f>
        <v>1178731.1000000001</v>
      </c>
      <c r="E15" s="114">
        <f t="shared" si="4"/>
        <v>2.2808690204667847</v>
      </c>
      <c r="F15" s="509"/>
      <c r="G15" s="509"/>
      <c r="H15" s="99"/>
      <c r="I15" s="99"/>
      <c r="J15" s="99"/>
      <c r="K15" s="99"/>
      <c r="L15" s="99"/>
      <c r="M15" s="99"/>
    </row>
    <row r="16" spans="1:13" ht="66" customHeight="1" x14ac:dyDescent="0.2">
      <c r="A16" s="120" t="s">
        <v>492</v>
      </c>
      <c r="B16" s="121" t="s">
        <v>493</v>
      </c>
      <c r="C16" s="127" t="s">
        <v>81</v>
      </c>
      <c r="D16" s="123">
        <f>'План ЖИЛЬЕ'!I101+'План ЖИЛЬЕ'!I102+'План ЖИЛЬЕ'!I62</f>
        <v>630061.10000000009</v>
      </c>
      <c r="E16" s="124">
        <v>1.2200000000000002</v>
      </c>
      <c r="F16" s="510"/>
      <c r="G16" s="510"/>
      <c r="H16" s="99"/>
      <c r="I16" s="99"/>
      <c r="J16" s="99"/>
      <c r="K16" s="99"/>
      <c r="L16" s="99"/>
      <c r="M16" s="99"/>
    </row>
    <row r="17" spans="1:13" ht="66.75" customHeight="1" x14ac:dyDescent="0.2">
      <c r="A17" s="125" t="s">
        <v>494</v>
      </c>
      <c r="B17" s="126" t="s">
        <v>495</v>
      </c>
      <c r="C17" s="127" t="s">
        <v>81</v>
      </c>
      <c r="D17" s="128">
        <v>548670</v>
      </c>
      <c r="E17" s="129">
        <f>D17/43099.1/12</f>
        <v>1.0608690204667848</v>
      </c>
      <c r="F17" s="510"/>
      <c r="G17" s="510"/>
      <c r="H17" s="99"/>
      <c r="I17" s="99"/>
      <c r="J17" s="99"/>
      <c r="K17" s="99"/>
      <c r="L17" s="99"/>
      <c r="M17" s="99"/>
    </row>
    <row r="18" spans="1:13" ht="42" customHeight="1" x14ac:dyDescent="0.2">
      <c r="A18" s="110" t="s">
        <v>496</v>
      </c>
      <c r="B18" s="136" t="s">
        <v>497</v>
      </c>
      <c r="C18" s="137"/>
      <c r="D18" s="113">
        <f t="shared" ref="D18:E18" si="5">D19</f>
        <v>20673.04</v>
      </c>
      <c r="E18" s="114">
        <f t="shared" si="5"/>
        <v>0.05</v>
      </c>
      <c r="F18" s="509"/>
      <c r="G18" s="509"/>
      <c r="H18" s="99"/>
      <c r="I18" s="99"/>
      <c r="J18" s="99"/>
      <c r="K18" s="99"/>
      <c r="L18" s="99"/>
      <c r="M18" s="99"/>
    </row>
    <row r="19" spans="1:13" ht="80.25" customHeight="1" x14ac:dyDescent="0.2">
      <c r="A19" s="138" t="s">
        <v>496</v>
      </c>
      <c r="B19" s="139" t="s">
        <v>498</v>
      </c>
      <c r="C19" s="140" t="s">
        <v>81</v>
      </c>
      <c r="D19" s="141">
        <f>'План ЖИЛЬЕ'!I109+'План ЖИЛЬЕ'!I110+'План ЖИЛЬЕ'!I112</f>
        <v>20673.04</v>
      </c>
      <c r="E19" s="142">
        <v>0.05</v>
      </c>
      <c r="F19" s="510"/>
      <c r="G19" s="510"/>
      <c r="H19" s="99"/>
      <c r="I19" s="99"/>
      <c r="J19" s="99"/>
      <c r="K19" s="99"/>
      <c r="L19" s="99"/>
      <c r="M19" s="99"/>
    </row>
    <row r="20" spans="1:13" ht="27.75" customHeight="1" x14ac:dyDescent="0.2">
      <c r="A20" s="110" t="s">
        <v>499</v>
      </c>
      <c r="B20" s="111" t="s">
        <v>224</v>
      </c>
      <c r="C20" s="140"/>
      <c r="D20" s="113">
        <f t="shared" ref="D20:E20" si="6">D21</f>
        <v>987898.8</v>
      </c>
      <c r="E20" s="114">
        <f t="shared" si="6"/>
        <v>1.9000000000000001</v>
      </c>
      <c r="F20" s="509"/>
      <c r="G20" s="509"/>
      <c r="H20" s="99"/>
      <c r="I20" s="99"/>
      <c r="J20" s="99"/>
      <c r="K20" s="99"/>
      <c r="L20" s="99"/>
      <c r="M20" s="99"/>
    </row>
    <row r="21" spans="1:13" ht="82.5" customHeight="1" x14ac:dyDescent="0.2">
      <c r="A21" s="115" t="s">
        <v>499</v>
      </c>
      <c r="B21" s="116" t="s">
        <v>500</v>
      </c>
      <c r="C21" s="143" t="s">
        <v>81</v>
      </c>
      <c r="D21" s="118">
        <f>'План ЖИЛЬЕ'!I121+'План ЖИЛЬЕ'!I122+'План ЖИЛЬЕ'!I123+'План ЖИЛЬЕ'!I125+'План ЖИЛЬЕ'!I54-13180.2</f>
        <v>987898.8</v>
      </c>
      <c r="E21" s="119">
        <v>1.9000000000000001</v>
      </c>
      <c r="F21" s="510"/>
      <c r="G21" s="510"/>
      <c r="H21" s="99"/>
      <c r="I21" s="99"/>
      <c r="J21" s="99"/>
      <c r="K21" s="99"/>
      <c r="L21" s="99"/>
      <c r="M21" s="99"/>
    </row>
    <row r="22" spans="1:13" ht="15" customHeight="1" x14ac:dyDescent="0.2">
      <c r="A22" s="110" t="s">
        <v>501</v>
      </c>
      <c r="B22" s="111" t="s">
        <v>502</v>
      </c>
      <c r="C22" s="112"/>
      <c r="D22" s="113">
        <f t="shared" ref="D22:E22" si="7">D23</f>
        <v>43180.2</v>
      </c>
      <c r="E22" s="114">
        <f t="shared" si="7"/>
        <v>8.3490142485573945E-2</v>
      </c>
      <c r="F22" s="509"/>
      <c r="G22" s="509"/>
      <c r="H22" s="99"/>
      <c r="I22" s="99"/>
      <c r="J22" s="99"/>
      <c r="K22" s="99"/>
      <c r="L22" s="99"/>
      <c r="M22" s="99"/>
    </row>
    <row r="23" spans="1:13" ht="40.5" customHeight="1" x14ac:dyDescent="0.2">
      <c r="A23" s="115" t="s">
        <v>501</v>
      </c>
      <c r="B23" s="116" t="s">
        <v>503</v>
      </c>
      <c r="C23" s="127" t="s">
        <v>81</v>
      </c>
      <c r="D23" s="118">
        <v>43180.2</v>
      </c>
      <c r="E23" s="119">
        <f>D23/43099.1/12</f>
        <v>8.3490142485573945E-2</v>
      </c>
      <c r="F23" s="510"/>
      <c r="G23" s="510"/>
      <c r="H23" s="99"/>
      <c r="I23" s="99"/>
      <c r="J23" s="99"/>
      <c r="K23" s="99"/>
      <c r="L23" s="99"/>
      <c r="M23" s="99"/>
    </row>
    <row r="24" spans="1:13" ht="42" customHeight="1" x14ac:dyDescent="0.2">
      <c r="A24" s="144" t="s">
        <v>504</v>
      </c>
      <c r="B24" s="136" t="s">
        <v>505</v>
      </c>
      <c r="C24" s="137"/>
      <c r="D24" s="113">
        <f t="shared" ref="D24:E24" si="8">D25+D28+D44</f>
        <v>14841665.049999999</v>
      </c>
      <c r="E24" s="114">
        <f t="shared" si="8"/>
        <v>22.35</v>
      </c>
      <c r="F24" s="509"/>
      <c r="G24" s="509"/>
      <c r="H24" s="99"/>
      <c r="I24" s="99"/>
      <c r="J24" s="99"/>
      <c r="K24" s="99"/>
      <c r="L24" s="99"/>
      <c r="M24" s="99"/>
    </row>
    <row r="25" spans="1:13" ht="27" customHeight="1" x14ac:dyDescent="0.2">
      <c r="A25" s="145" t="s">
        <v>452</v>
      </c>
      <c r="B25" s="146" t="s">
        <v>506</v>
      </c>
      <c r="C25" s="147"/>
      <c r="D25" s="148">
        <f t="shared" ref="D25:E25" si="9">D26+D27</f>
        <v>332849.58999999997</v>
      </c>
      <c r="E25" s="149">
        <f t="shared" si="9"/>
        <v>0.65</v>
      </c>
      <c r="F25" s="509"/>
      <c r="G25" s="509"/>
      <c r="H25" s="99"/>
      <c r="I25" s="99"/>
      <c r="J25" s="99"/>
      <c r="K25" s="99"/>
      <c r="L25" s="99"/>
      <c r="M25" s="99"/>
    </row>
    <row r="26" spans="1:13" ht="27" customHeight="1" x14ac:dyDescent="0.2">
      <c r="A26" s="150" t="s">
        <v>507</v>
      </c>
      <c r="B26" s="121" t="s">
        <v>508</v>
      </c>
      <c r="C26" s="122" t="s">
        <v>509</v>
      </c>
      <c r="D26" s="151">
        <f>'План ЖИЛЬЕ'!I59</f>
        <v>326937.24</v>
      </c>
      <c r="E26" s="152">
        <v>0.63</v>
      </c>
      <c r="F26" s="511"/>
      <c r="G26" s="511"/>
      <c r="H26" s="99"/>
      <c r="I26" s="99"/>
      <c r="J26" s="99"/>
      <c r="K26" s="99"/>
      <c r="L26" s="99"/>
      <c r="M26" s="99"/>
    </row>
    <row r="27" spans="1:13" ht="27" customHeight="1" x14ac:dyDescent="0.2">
      <c r="A27" s="153" t="s">
        <v>510</v>
      </c>
      <c r="B27" s="126" t="s">
        <v>511</v>
      </c>
      <c r="C27" s="127" t="s">
        <v>509</v>
      </c>
      <c r="D27" s="154">
        <f>'План ЖИЛЬЕ'!I52+'План ЖИЛЬЕ'!I53</f>
        <v>5912.35</v>
      </c>
      <c r="E27" s="155">
        <v>0.02</v>
      </c>
      <c r="F27" s="511"/>
      <c r="G27" s="511"/>
      <c r="H27" s="99"/>
      <c r="I27" s="99"/>
      <c r="J27" s="99"/>
      <c r="K27" s="99"/>
      <c r="L27" s="99"/>
      <c r="M27" s="99"/>
    </row>
    <row r="28" spans="1:13" ht="39.75" customHeight="1" x14ac:dyDescent="0.2">
      <c r="A28" s="156" t="s">
        <v>454</v>
      </c>
      <c r="B28" s="157" t="s">
        <v>251</v>
      </c>
      <c r="C28" s="158"/>
      <c r="D28" s="159">
        <f t="shared" ref="D28:E28" si="10">D29+D30+D31+D32+D33+D34+D35+D36+D37+D38+D39+D40</f>
        <v>10551446.629999999</v>
      </c>
      <c r="E28" s="160">
        <f t="shared" si="10"/>
        <v>15.06</v>
      </c>
      <c r="F28" s="512"/>
      <c r="G28" s="512"/>
      <c r="H28" s="99"/>
      <c r="I28" s="99"/>
      <c r="J28" s="99"/>
      <c r="K28" s="99"/>
      <c r="L28" s="99"/>
      <c r="M28" s="99"/>
    </row>
    <row r="29" spans="1:13" ht="27" customHeight="1" x14ac:dyDescent="0.2">
      <c r="A29" s="150" t="s">
        <v>512</v>
      </c>
      <c r="B29" s="121" t="s">
        <v>513</v>
      </c>
      <c r="C29" s="122" t="s">
        <v>81</v>
      </c>
      <c r="D29" s="151">
        <f>'План ЖИЛЬЕ'!I137+'План ЖИЛЬЕ'!I140+'План ЖИЛЬЕ'!I141+'План ЖИЛЬЕ'!I142+'План ЖИЛЬЕ'!I143+'План ЖИЛЬЕ'!I150+'План ЖИЛЬЕ'!I151+'План ЖИЛЬЕ'!I152+'План ЖИЛЬЕ'!I153+'План ЖИЛЬЕ'!I157</f>
        <v>4182786</v>
      </c>
      <c r="E29" s="152">
        <v>8.09</v>
      </c>
      <c r="F29" s="511"/>
      <c r="G29" s="511"/>
      <c r="H29" s="99"/>
      <c r="I29" s="99"/>
      <c r="J29" s="99"/>
      <c r="K29" s="99"/>
      <c r="L29" s="99"/>
      <c r="M29" s="99"/>
    </row>
    <row r="30" spans="1:13" ht="14.25" customHeight="1" x14ac:dyDescent="0.2">
      <c r="A30" s="161" t="s">
        <v>514</v>
      </c>
      <c r="B30" s="162" t="s">
        <v>515</v>
      </c>
      <c r="C30" s="163" t="s">
        <v>516</v>
      </c>
      <c r="D30" s="164">
        <f>'План ЖИЛЬЕ'!I154+'План ЖИЛЬЕ'!I155+'План ЖИЛЬЕ'!I156+'План ЖИЛЬЕ'!I162</f>
        <v>203354.38</v>
      </c>
      <c r="E30" s="165">
        <v>0.38999999999999996</v>
      </c>
      <c r="F30" s="511"/>
      <c r="G30" s="511"/>
      <c r="H30" s="99"/>
      <c r="I30" s="99"/>
      <c r="J30" s="99"/>
      <c r="K30" s="99"/>
      <c r="L30" s="99"/>
      <c r="M30" s="99"/>
    </row>
    <row r="31" spans="1:13" ht="26.25" customHeight="1" x14ac:dyDescent="0.2">
      <c r="A31" s="161" t="s">
        <v>517</v>
      </c>
      <c r="B31" s="166" t="s">
        <v>270</v>
      </c>
      <c r="C31" s="163" t="s">
        <v>380</v>
      </c>
      <c r="D31" s="164">
        <f>'План ЖИЛЬЕ'!I144</f>
        <v>396656.16</v>
      </c>
      <c r="E31" s="165">
        <v>0.39</v>
      </c>
      <c r="F31" s="511"/>
      <c r="G31" s="511"/>
      <c r="H31" s="99"/>
      <c r="I31" s="99"/>
      <c r="J31" s="99"/>
      <c r="K31" s="99"/>
      <c r="L31" s="99"/>
      <c r="M31" s="99"/>
    </row>
    <row r="32" spans="1:13" ht="14.25" customHeight="1" x14ac:dyDescent="0.2">
      <c r="A32" s="161" t="s">
        <v>518</v>
      </c>
      <c r="B32" s="167" t="s">
        <v>280</v>
      </c>
      <c r="C32" s="163" t="s">
        <v>380</v>
      </c>
      <c r="D32" s="164">
        <f>'План ЖИЛЬЕ'!I149</f>
        <v>60868.800000000003</v>
      </c>
      <c r="E32" s="165">
        <v>0.12</v>
      </c>
      <c r="F32" s="511"/>
      <c r="G32" s="511"/>
      <c r="H32" s="99"/>
      <c r="I32" s="99"/>
      <c r="J32" s="99"/>
      <c r="K32" s="99"/>
      <c r="L32" s="99"/>
      <c r="M32" s="99"/>
    </row>
    <row r="33" spans="1:13" ht="14.25" customHeight="1" x14ac:dyDescent="0.2">
      <c r="A33" s="161" t="s">
        <v>519</v>
      </c>
      <c r="B33" s="167" t="s">
        <v>298</v>
      </c>
      <c r="C33" s="163" t="s">
        <v>380</v>
      </c>
      <c r="D33" s="168">
        <v>97946.83</v>
      </c>
      <c r="E33" s="165">
        <v>0.1</v>
      </c>
      <c r="F33" s="511"/>
      <c r="G33" s="511"/>
      <c r="H33" s="99"/>
      <c r="I33" s="99"/>
      <c r="J33" s="99"/>
      <c r="K33" s="99"/>
      <c r="L33" s="99"/>
      <c r="M33" s="99"/>
    </row>
    <row r="34" spans="1:13" ht="14.25" customHeight="1" x14ac:dyDescent="0.2">
      <c r="A34" s="169" t="s">
        <v>520</v>
      </c>
      <c r="B34" s="167" t="s">
        <v>300</v>
      </c>
      <c r="C34" s="163" t="s">
        <v>380</v>
      </c>
      <c r="D34" s="168">
        <v>172800</v>
      </c>
      <c r="E34" s="165">
        <v>0.33</v>
      </c>
      <c r="F34" s="511"/>
      <c r="G34" s="511"/>
      <c r="H34" s="99"/>
      <c r="I34" s="99"/>
      <c r="J34" s="99"/>
      <c r="K34" s="99"/>
      <c r="L34" s="99"/>
      <c r="M34" s="99"/>
    </row>
    <row r="35" spans="1:13" ht="14.25" customHeight="1" x14ac:dyDescent="0.2">
      <c r="A35" s="169" t="s">
        <v>521</v>
      </c>
      <c r="B35" s="167" t="s">
        <v>302</v>
      </c>
      <c r="C35" s="163" t="s">
        <v>380</v>
      </c>
      <c r="D35" s="168">
        <v>220678.68</v>
      </c>
      <c r="E35" s="165">
        <v>0.43</v>
      </c>
      <c r="F35" s="511"/>
      <c r="G35" s="511"/>
      <c r="H35" s="99"/>
      <c r="I35" s="99"/>
      <c r="J35" s="99"/>
      <c r="K35" s="99"/>
      <c r="L35" s="99"/>
      <c r="M35" s="99"/>
    </row>
    <row r="36" spans="1:13" ht="27" customHeight="1" x14ac:dyDescent="0.2">
      <c r="A36" s="169" t="s">
        <v>522</v>
      </c>
      <c r="B36" s="170" t="s">
        <v>523</v>
      </c>
      <c r="C36" s="163" t="s">
        <v>380</v>
      </c>
      <c r="D36" s="164">
        <f>'План ЖИЛЬЕ'!I190+'План ЖИЛЬЕ'!I189+'План ЖИЛЬЕ'!I139</f>
        <v>166452.02000000002</v>
      </c>
      <c r="E36" s="165">
        <v>0.23</v>
      </c>
      <c r="F36" s="511"/>
      <c r="G36" s="511"/>
      <c r="H36" s="99"/>
      <c r="I36" s="99"/>
      <c r="J36" s="99"/>
      <c r="K36" s="99"/>
      <c r="L36" s="99"/>
      <c r="M36" s="99"/>
    </row>
    <row r="37" spans="1:13" ht="14.25" customHeight="1" x14ac:dyDescent="0.2">
      <c r="A37" s="169" t="s">
        <v>524</v>
      </c>
      <c r="B37" s="162" t="s">
        <v>525</v>
      </c>
      <c r="C37" s="163" t="s">
        <v>380</v>
      </c>
      <c r="D37" s="168">
        <v>72408.17</v>
      </c>
      <c r="E37" s="165">
        <v>0.14000000000000001</v>
      </c>
      <c r="F37" s="511"/>
      <c r="G37" s="511"/>
      <c r="H37" s="99"/>
      <c r="I37" s="99"/>
      <c r="J37" s="99"/>
      <c r="K37" s="99"/>
      <c r="L37" s="99"/>
      <c r="M37" s="99"/>
    </row>
    <row r="38" spans="1:13" ht="27" customHeight="1" x14ac:dyDescent="0.2">
      <c r="A38" s="169" t="s">
        <v>526</v>
      </c>
      <c r="B38" s="162" t="s">
        <v>527</v>
      </c>
      <c r="C38" s="163" t="s">
        <v>528</v>
      </c>
      <c r="D38" s="128">
        <f>'План ЖИЛЬЕ'!I185</f>
        <v>177120</v>
      </c>
      <c r="E38" s="171">
        <v>0.17</v>
      </c>
      <c r="F38" s="510"/>
      <c r="G38" s="510"/>
      <c r="H38" s="99"/>
      <c r="I38" s="99"/>
      <c r="J38" s="99"/>
      <c r="K38" s="99"/>
      <c r="L38" s="99"/>
      <c r="M38" s="99"/>
    </row>
    <row r="39" spans="1:13" ht="78.75" customHeight="1" x14ac:dyDescent="0.2">
      <c r="A39" s="172" t="s">
        <v>529</v>
      </c>
      <c r="B39" s="173" t="s">
        <v>348</v>
      </c>
      <c r="C39" s="163" t="s">
        <v>528</v>
      </c>
      <c r="D39" s="128">
        <f>'План ЖИЛЬЕ'!I184</f>
        <v>2059264.51</v>
      </c>
      <c r="E39" s="129">
        <v>2</v>
      </c>
      <c r="F39" s="510"/>
      <c r="G39" s="510"/>
      <c r="H39" s="99"/>
      <c r="I39" s="99"/>
      <c r="J39" s="99"/>
      <c r="K39" s="99"/>
      <c r="L39" s="99"/>
      <c r="M39" s="99"/>
    </row>
    <row r="40" spans="1:13" ht="14.25" customHeight="1" x14ac:dyDescent="0.2">
      <c r="A40" s="498" t="s">
        <v>530</v>
      </c>
      <c r="B40" s="162" t="s">
        <v>531</v>
      </c>
      <c r="C40" s="499" t="s">
        <v>516</v>
      </c>
      <c r="D40" s="492">
        <f>'План ЖИЛЬЕ'!I145+'План ЖИЛЬЕ'!I146</f>
        <v>2741111.08</v>
      </c>
      <c r="E40" s="495">
        <v>2.67</v>
      </c>
      <c r="F40" s="511"/>
      <c r="G40" s="511"/>
      <c r="H40" s="99"/>
      <c r="I40" s="99"/>
      <c r="J40" s="99"/>
      <c r="K40" s="99"/>
      <c r="L40" s="99"/>
      <c r="M40" s="99"/>
    </row>
    <row r="41" spans="1:13" ht="14.25" customHeight="1" x14ac:dyDescent="0.2">
      <c r="A41" s="480"/>
      <c r="B41" s="162" t="s">
        <v>532</v>
      </c>
      <c r="C41" s="480"/>
      <c r="D41" s="493"/>
      <c r="E41" s="480"/>
      <c r="F41" s="513"/>
      <c r="G41" s="513"/>
      <c r="H41" s="99"/>
      <c r="I41" s="99"/>
      <c r="J41" s="99"/>
      <c r="K41" s="99"/>
      <c r="L41" s="99"/>
      <c r="M41" s="99"/>
    </row>
    <row r="42" spans="1:13" ht="14.25" customHeight="1" x14ac:dyDescent="0.2">
      <c r="A42" s="480"/>
      <c r="B42" s="162" t="s">
        <v>533</v>
      </c>
      <c r="C42" s="480"/>
      <c r="D42" s="493"/>
      <c r="E42" s="480"/>
      <c r="F42" s="513"/>
      <c r="G42" s="513"/>
      <c r="H42" s="99"/>
      <c r="I42" s="99"/>
      <c r="J42" s="99"/>
      <c r="K42" s="99"/>
      <c r="L42" s="99"/>
      <c r="M42" s="99"/>
    </row>
    <row r="43" spans="1:13" ht="15" customHeight="1" x14ac:dyDescent="0.2">
      <c r="A43" s="481"/>
      <c r="B43" s="126" t="s">
        <v>534</v>
      </c>
      <c r="C43" s="481"/>
      <c r="D43" s="500"/>
      <c r="E43" s="481"/>
      <c r="F43" s="513"/>
      <c r="G43" s="513"/>
      <c r="H43" s="99"/>
      <c r="I43" s="99"/>
      <c r="J43" s="99"/>
      <c r="K43" s="99"/>
      <c r="L43" s="99"/>
      <c r="M43" s="99"/>
    </row>
    <row r="44" spans="1:13" ht="27.75" customHeight="1" x14ac:dyDescent="0.2">
      <c r="A44" s="110" t="s">
        <v>535</v>
      </c>
      <c r="B44" s="136" t="s">
        <v>536</v>
      </c>
      <c r="C44" s="137"/>
      <c r="D44" s="113">
        <f t="shared" ref="D44:E44" si="11">D45</f>
        <v>3957368.83</v>
      </c>
      <c r="E44" s="114">
        <f t="shared" si="11"/>
        <v>6.64</v>
      </c>
      <c r="F44" s="509"/>
      <c r="G44" s="509"/>
      <c r="H44" s="99"/>
      <c r="I44" s="99"/>
      <c r="J44" s="99"/>
      <c r="K44" s="99"/>
      <c r="L44" s="99"/>
      <c r="M44" s="99"/>
    </row>
    <row r="45" spans="1:13" ht="66.75" customHeight="1" x14ac:dyDescent="0.2">
      <c r="A45" s="174" t="s">
        <v>537</v>
      </c>
      <c r="B45" s="116" t="s">
        <v>538</v>
      </c>
      <c r="C45" s="122" t="s">
        <v>108</v>
      </c>
      <c r="D45" s="118">
        <f>'План ЖИЛЬЕ'!I179</f>
        <v>3957368.83</v>
      </c>
      <c r="E45" s="119">
        <v>6.64</v>
      </c>
      <c r="F45" s="510"/>
      <c r="G45" s="510"/>
      <c r="H45" s="99"/>
      <c r="I45" s="99"/>
      <c r="J45" s="99"/>
      <c r="K45" s="99"/>
      <c r="L45" s="99"/>
      <c r="M45" s="99"/>
    </row>
    <row r="46" spans="1:13" ht="27.75" customHeight="1" x14ac:dyDescent="0.2">
      <c r="A46" s="144" t="s">
        <v>539</v>
      </c>
      <c r="B46" s="175" t="s">
        <v>540</v>
      </c>
      <c r="C46" s="176"/>
      <c r="D46" s="113">
        <f t="shared" ref="D46:E46" si="12">D47</f>
        <v>1978813.55</v>
      </c>
      <c r="E46" s="114">
        <f t="shared" si="12"/>
        <v>5.5074504743929706</v>
      </c>
      <c r="F46" s="509"/>
      <c r="G46" s="509"/>
      <c r="H46" s="99"/>
      <c r="I46" s="99"/>
      <c r="J46" s="99"/>
      <c r="K46" s="99"/>
      <c r="L46" s="99"/>
      <c r="M46" s="99"/>
    </row>
    <row r="47" spans="1:13" ht="15" customHeight="1" x14ac:dyDescent="0.2">
      <c r="A47" s="110" t="s">
        <v>541</v>
      </c>
      <c r="B47" s="111" t="s">
        <v>542</v>
      </c>
      <c r="C47" s="112"/>
      <c r="D47" s="113">
        <f>D48+D49+D50+D51+D55+D56</f>
        <v>1978813.55</v>
      </c>
      <c r="E47" s="114">
        <f>E48+E49+E50+E51+E55+E56+E57</f>
        <v>5.5074504743929706</v>
      </c>
      <c r="F47" s="509"/>
      <c r="G47" s="509"/>
      <c r="H47" s="99"/>
      <c r="I47" s="177"/>
      <c r="J47" s="99"/>
      <c r="K47" s="99"/>
      <c r="L47" s="99"/>
      <c r="M47" s="99"/>
    </row>
    <row r="48" spans="1:13" ht="27" customHeight="1" x14ac:dyDescent="0.2">
      <c r="A48" s="150" t="s">
        <v>543</v>
      </c>
      <c r="B48" s="121" t="s">
        <v>544</v>
      </c>
      <c r="C48" s="122" t="s">
        <v>108</v>
      </c>
      <c r="D48" s="123">
        <f>'План ЖИЛЬЕ'!I8</f>
        <v>250006.9</v>
      </c>
      <c r="E48" s="132">
        <f t="shared" ref="E48:E51" si="13">D48/43099.1/12</f>
        <v>0.48339543826514553</v>
      </c>
      <c r="F48" s="511"/>
      <c r="G48" s="511"/>
      <c r="H48" s="99"/>
      <c r="I48" s="99"/>
      <c r="J48" s="99"/>
      <c r="K48" s="99"/>
      <c r="L48" s="99"/>
      <c r="M48" s="99"/>
    </row>
    <row r="49" spans="1:13" ht="27" customHeight="1" x14ac:dyDescent="0.2">
      <c r="A49" s="161" t="s">
        <v>545</v>
      </c>
      <c r="B49" s="162" t="s">
        <v>546</v>
      </c>
      <c r="C49" s="163" t="s">
        <v>547</v>
      </c>
      <c r="D49" s="178">
        <f>'План ЖИЛЬЕ'!I9</f>
        <v>149169.70000000001</v>
      </c>
      <c r="E49" s="165">
        <f t="shared" si="13"/>
        <v>0.28842384953127409</v>
      </c>
      <c r="F49" s="511"/>
      <c r="G49" s="511"/>
      <c r="H49" s="99"/>
      <c r="I49" s="99"/>
      <c r="J49" s="99"/>
      <c r="K49" s="99"/>
      <c r="L49" s="99"/>
      <c r="M49" s="99"/>
    </row>
    <row r="50" spans="1:13" ht="14.25" customHeight="1" x14ac:dyDescent="0.2">
      <c r="A50" s="161" t="s">
        <v>548</v>
      </c>
      <c r="B50" s="162" t="s">
        <v>549</v>
      </c>
      <c r="C50" s="163" t="s">
        <v>550</v>
      </c>
      <c r="D50" s="178">
        <f>'План ЖИЛЬЕ'!I14+'План ЖИЛЬЕ'!I16</f>
        <v>259791.41999999998</v>
      </c>
      <c r="E50" s="165">
        <f t="shared" si="13"/>
        <v>0.50231408544493961</v>
      </c>
      <c r="F50" s="511"/>
      <c r="G50" s="511"/>
      <c r="H50" s="99"/>
      <c r="I50" s="99"/>
      <c r="J50" s="99"/>
      <c r="K50" s="99"/>
      <c r="L50" s="99"/>
      <c r="M50" s="99"/>
    </row>
    <row r="51" spans="1:13" ht="27" customHeight="1" x14ac:dyDescent="0.2">
      <c r="A51" s="161" t="s">
        <v>551</v>
      </c>
      <c r="B51" s="162" t="s">
        <v>552</v>
      </c>
      <c r="C51" s="163" t="s">
        <v>550</v>
      </c>
      <c r="D51" s="492">
        <f>'План ЖИЛЬЕ'!I18+'План ЖИЛЬЕ'!I20+'План ЖИЛЬЕ'!I21+'План ЖИЛЬЕ'!I23+'План ЖИЛЬЕ'!I25+'План ЖИЛЬЕ'!I27+'План ЖИЛЬЕ'!I29+'План ЖИЛЬЕ'!I31+'План ЖИЛЬЕ'!I32+'План ЖИЛЬЕ'!I34+'План ЖИЛЬЕ'!I36+'План ЖИЛЬЕ'!I38+'План ЖИЛЬЕ'!I41+'План ЖИЛЬЕ'!I37+'План ЖИЛЬЕ'!I12+1000000</f>
        <v>1271205.6000000001</v>
      </c>
      <c r="E51" s="495">
        <f t="shared" si="13"/>
        <v>2.4579121141740781</v>
      </c>
      <c r="F51" s="511"/>
      <c r="G51" s="511"/>
      <c r="H51" s="99"/>
      <c r="I51" s="99"/>
      <c r="J51" s="99"/>
      <c r="K51" s="99"/>
      <c r="L51" s="99"/>
      <c r="M51" s="99"/>
    </row>
    <row r="52" spans="1:13" ht="39.75" customHeight="1" x14ac:dyDescent="0.2">
      <c r="A52" s="161" t="s">
        <v>553</v>
      </c>
      <c r="B52" s="162" t="s">
        <v>554</v>
      </c>
      <c r="C52" s="163" t="s">
        <v>555</v>
      </c>
      <c r="D52" s="493"/>
      <c r="E52" s="480"/>
      <c r="F52" s="513"/>
      <c r="G52" s="513"/>
      <c r="H52" s="99"/>
      <c r="I52" s="99"/>
      <c r="J52" s="99"/>
      <c r="K52" s="99"/>
      <c r="L52" s="99"/>
      <c r="M52" s="99"/>
    </row>
    <row r="53" spans="1:13" ht="14.25" customHeight="1" x14ac:dyDescent="0.2">
      <c r="A53" s="161" t="s">
        <v>556</v>
      </c>
      <c r="B53" s="162" t="s">
        <v>557</v>
      </c>
      <c r="C53" s="163" t="s">
        <v>482</v>
      </c>
      <c r="D53" s="493"/>
      <c r="E53" s="480"/>
      <c r="F53" s="513"/>
      <c r="G53" s="513"/>
      <c r="H53" s="99"/>
      <c r="I53" s="99"/>
      <c r="J53" s="99"/>
      <c r="K53" s="99"/>
      <c r="L53" s="99"/>
      <c r="M53" s="99"/>
    </row>
    <row r="54" spans="1:13" ht="14.25" customHeight="1" x14ac:dyDescent="0.2">
      <c r="A54" s="161" t="s">
        <v>558</v>
      </c>
      <c r="B54" s="162" t="s">
        <v>559</v>
      </c>
      <c r="C54" s="163" t="s">
        <v>482</v>
      </c>
      <c r="D54" s="494"/>
      <c r="E54" s="496"/>
      <c r="F54" s="513"/>
      <c r="G54" s="513"/>
      <c r="H54" s="99"/>
      <c r="I54" s="99"/>
      <c r="J54" s="99"/>
      <c r="K54" s="99"/>
      <c r="L54" s="99"/>
      <c r="M54" s="99"/>
    </row>
    <row r="55" spans="1:13" ht="14.25" customHeight="1" x14ac:dyDescent="0.2">
      <c r="A55" s="161" t="s">
        <v>560</v>
      </c>
      <c r="B55" s="162" t="s">
        <v>561</v>
      </c>
      <c r="C55" s="163" t="s">
        <v>482</v>
      </c>
      <c r="D55" s="178">
        <f>'План ЖИЛЬЕ'!I43</f>
        <v>16080.53</v>
      </c>
      <c r="E55" s="129">
        <f>D55/43099.1/12</f>
        <v>3.1092161243892955E-2</v>
      </c>
      <c r="F55" s="510"/>
      <c r="G55" s="510"/>
      <c r="H55" s="99"/>
      <c r="I55" s="99"/>
      <c r="J55" s="99"/>
      <c r="K55" s="99"/>
      <c r="L55" s="99"/>
      <c r="M55" s="99"/>
    </row>
    <row r="56" spans="1:13" ht="14.25" customHeight="1" x14ac:dyDescent="0.2">
      <c r="A56" s="153" t="s">
        <v>562</v>
      </c>
      <c r="B56" s="126" t="s">
        <v>563</v>
      </c>
      <c r="C56" s="127" t="s">
        <v>81</v>
      </c>
      <c r="D56" s="128">
        <f>'План ЖИЛЬЕ'!I206+'План ЖИЛЬЕ'!I208</f>
        <v>32559.399999999998</v>
      </c>
      <c r="E56" s="129">
        <f>D56/43099.12/12</f>
        <v>6.2954494971900421E-2</v>
      </c>
      <c r="F56" s="510"/>
      <c r="G56" s="510"/>
      <c r="H56" s="99"/>
      <c r="I56" s="99"/>
      <c r="J56" s="99"/>
      <c r="K56" s="99"/>
      <c r="L56" s="99"/>
      <c r="M56" s="99"/>
    </row>
    <row r="57" spans="1:13" ht="15" customHeight="1" x14ac:dyDescent="0.2">
      <c r="A57" s="179"/>
      <c r="B57" s="180" t="s">
        <v>564</v>
      </c>
      <c r="C57" s="181" t="s">
        <v>565</v>
      </c>
      <c r="D57" s="182">
        <f>'План ЖИЛЬЕ'!I15+'План ЖИЛЬЕ'!I17+'План ЖИЛЬЕ'!I19+'План ЖИЛЬЕ'!I24+'План ЖИЛЬЕ'!I26+'План ЖИЛЬЕ'!I28+'План ЖИЛЬЕ'!I30+'План ЖИЛЬЕ'!I33+'План ЖИЛЬЕ'!I35+'План ЖИЛЬЕ'!I39+'План ЖИЛЬЕ'!I40-500000</f>
        <v>869580.36999999988</v>
      </c>
      <c r="E57" s="183">
        <f>D57/43099.1/12</f>
        <v>1.6813583307617403</v>
      </c>
      <c r="F57" s="510"/>
      <c r="G57" s="510"/>
      <c r="H57" s="99"/>
      <c r="I57" s="99"/>
      <c r="J57" s="99"/>
      <c r="K57" s="99"/>
      <c r="L57" s="99"/>
      <c r="M57" s="99"/>
    </row>
    <row r="58" spans="1:13" ht="15" customHeight="1" x14ac:dyDescent="0.2">
      <c r="A58" s="184" t="s">
        <v>566</v>
      </c>
      <c r="B58" s="111" t="s">
        <v>567</v>
      </c>
      <c r="C58" s="112"/>
      <c r="D58" s="113">
        <f t="shared" ref="D58:E58" si="14">D59</f>
        <v>1365411.17</v>
      </c>
      <c r="E58" s="114">
        <f t="shared" si="14"/>
        <v>2.64</v>
      </c>
      <c r="F58" s="509"/>
      <c r="G58" s="509"/>
      <c r="H58" s="99"/>
      <c r="I58" s="99"/>
      <c r="J58" s="99"/>
      <c r="K58" s="99"/>
      <c r="L58" s="99"/>
      <c r="M58" s="99"/>
    </row>
    <row r="59" spans="1:13" ht="197.25" customHeight="1" x14ac:dyDescent="0.2">
      <c r="A59" s="185" t="s">
        <v>568</v>
      </c>
      <c r="B59" s="186" t="s">
        <v>569</v>
      </c>
      <c r="C59" s="187" t="s">
        <v>570</v>
      </c>
      <c r="D59" s="131">
        <v>1365411.17</v>
      </c>
      <c r="E59" s="188">
        <v>2.64</v>
      </c>
      <c r="F59" s="514"/>
      <c r="G59" s="514"/>
      <c r="H59" s="99"/>
      <c r="I59" s="99"/>
      <c r="J59" s="99"/>
      <c r="K59" s="99"/>
      <c r="L59" s="99"/>
      <c r="M59" s="99"/>
    </row>
    <row r="60" spans="1:13" ht="15" customHeight="1" x14ac:dyDescent="0.2">
      <c r="A60" s="144" t="s">
        <v>571</v>
      </c>
      <c r="B60" s="111" t="s">
        <v>572</v>
      </c>
      <c r="C60" s="112"/>
      <c r="D60" s="113">
        <f t="shared" ref="D60:E60" si="15">D61+D62+D63+D64+D65+D66+D67+D68+D69+D70</f>
        <v>9754935.1556000002</v>
      </c>
      <c r="E60" s="114">
        <f t="shared" si="15"/>
        <v>18.859278237055225</v>
      </c>
      <c r="F60" s="509"/>
      <c r="G60" s="509"/>
      <c r="H60" s="99"/>
      <c r="I60" s="99"/>
      <c r="J60" s="99"/>
      <c r="K60" s="99"/>
      <c r="L60" s="99"/>
      <c r="M60" s="99"/>
    </row>
    <row r="61" spans="1:13" ht="14.25" customHeight="1" x14ac:dyDescent="0.2">
      <c r="A61" s="189" t="s">
        <v>573</v>
      </c>
      <c r="B61" s="190" t="s">
        <v>574</v>
      </c>
      <c r="C61" s="191" t="s">
        <v>575</v>
      </c>
      <c r="D61" s="192">
        <f>'План ЖИЛЬЕ'!I194</f>
        <v>221959.92</v>
      </c>
      <c r="E61" s="124">
        <v>0.43</v>
      </c>
      <c r="F61" s="510"/>
      <c r="G61" s="510"/>
      <c r="H61" s="99"/>
      <c r="I61" s="99"/>
      <c r="J61" s="99"/>
      <c r="K61" s="99"/>
      <c r="L61" s="99"/>
      <c r="M61" s="99"/>
    </row>
    <row r="62" spans="1:13" ht="26.25" customHeight="1" x14ac:dyDescent="0.2">
      <c r="A62" s="185" t="s">
        <v>576</v>
      </c>
      <c r="B62" s="193" t="s">
        <v>577</v>
      </c>
      <c r="C62" s="163" t="s">
        <v>380</v>
      </c>
      <c r="D62" s="123">
        <f>'План ЖИЛЬЕ'!I211</f>
        <v>3526.56</v>
      </c>
      <c r="E62" s="194">
        <v>6.818703870846491E-3</v>
      </c>
      <c r="F62" s="515"/>
      <c r="G62" s="515"/>
      <c r="H62" s="99"/>
      <c r="I62" s="99"/>
      <c r="J62" s="99"/>
      <c r="K62" s="99"/>
      <c r="L62" s="99"/>
      <c r="M62" s="99"/>
    </row>
    <row r="63" spans="1:13" ht="14.25" customHeight="1" x14ac:dyDescent="0.2">
      <c r="A63" s="185" t="s">
        <v>578</v>
      </c>
      <c r="B63" s="195" t="s">
        <v>404</v>
      </c>
      <c r="C63" s="163" t="s">
        <v>380</v>
      </c>
      <c r="D63" s="123">
        <f>'План ЖИЛЬЕ'!I213</f>
        <v>974291.04</v>
      </c>
      <c r="E63" s="194">
        <v>1.8838193836994277</v>
      </c>
      <c r="F63" s="515"/>
      <c r="G63" s="515"/>
      <c r="H63" s="99"/>
      <c r="I63" s="99"/>
      <c r="J63" s="99"/>
      <c r="K63" s="99"/>
      <c r="L63" s="99"/>
      <c r="M63" s="99"/>
    </row>
    <row r="64" spans="1:13" ht="14.25" customHeight="1" x14ac:dyDescent="0.2">
      <c r="A64" s="185" t="s">
        <v>579</v>
      </c>
      <c r="B64" s="195" t="s">
        <v>405</v>
      </c>
      <c r="C64" s="163" t="s">
        <v>380</v>
      </c>
      <c r="D64" s="123">
        <f>'План ЖИЛЬЕ'!I214</f>
        <v>459000</v>
      </c>
      <c r="E64" s="194">
        <v>0.88748952994378083</v>
      </c>
      <c r="F64" s="515"/>
      <c r="G64" s="515"/>
      <c r="H64" s="99"/>
      <c r="I64" s="99"/>
      <c r="J64" s="99"/>
      <c r="K64" s="99"/>
      <c r="L64" s="99"/>
      <c r="M64" s="99"/>
    </row>
    <row r="65" spans="1:13" ht="14.25" customHeight="1" x14ac:dyDescent="0.2">
      <c r="A65" s="196" t="s">
        <v>181</v>
      </c>
      <c r="B65" s="195" t="s">
        <v>406</v>
      </c>
      <c r="C65" s="163" t="s">
        <v>380</v>
      </c>
      <c r="D65" s="168">
        <f>'План ЖИЛЬЕ'!I215</f>
        <v>138000</v>
      </c>
      <c r="E65" s="194">
        <v>0.26682691749943738</v>
      </c>
      <c r="F65" s="515"/>
      <c r="G65" s="515"/>
      <c r="H65" s="99"/>
      <c r="I65" s="99"/>
      <c r="J65" s="99"/>
      <c r="K65" s="99"/>
      <c r="L65" s="99"/>
      <c r="M65" s="99"/>
    </row>
    <row r="66" spans="1:13" ht="14.25" customHeight="1" x14ac:dyDescent="0.2">
      <c r="A66" s="196" t="s">
        <v>199</v>
      </c>
      <c r="B66" s="195" t="s">
        <v>407</v>
      </c>
      <c r="C66" s="163" t="s">
        <v>380</v>
      </c>
      <c r="D66" s="123">
        <f>'План ЖИЛЬЕ'!I216</f>
        <v>267993.84000000003</v>
      </c>
      <c r="E66" s="194">
        <v>0.51817369736259</v>
      </c>
      <c r="F66" s="515"/>
      <c r="G66" s="515"/>
      <c r="H66" s="99"/>
      <c r="I66" s="99"/>
      <c r="J66" s="99"/>
      <c r="K66" s="99"/>
      <c r="L66" s="99"/>
      <c r="M66" s="99"/>
    </row>
    <row r="67" spans="1:13" ht="14.25" customHeight="1" x14ac:dyDescent="0.2">
      <c r="A67" s="169" t="s">
        <v>223</v>
      </c>
      <c r="B67" s="197" t="s">
        <v>580</v>
      </c>
      <c r="C67" s="194" t="s">
        <v>108</v>
      </c>
      <c r="D67" s="178">
        <v>1861881.12</v>
      </c>
      <c r="E67" s="194">
        <v>3.6</v>
      </c>
      <c r="F67" s="515"/>
      <c r="G67" s="515"/>
      <c r="H67" s="99"/>
      <c r="I67" s="99"/>
      <c r="J67" s="99"/>
      <c r="K67" s="99"/>
      <c r="L67" s="99"/>
      <c r="M67" s="99"/>
    </row>
    <row r="68" spans="1:13" ht="14.25" customHeight="1" x14ac:dyDescent="0.2">
      <c r="A68" s="198" t="s">
        <v>236</v>
      </c>
      <c r="B68" s="199" t="s">
        <v>581</v>
      </c>
      <c r="C68" s="200" t="s">
        <v>108</v>
      </c>
      <c r="D68" s="128">
        <v>4306194.8600000003</v>
      </c>
      <c r="E68" s="200">
        <f>D68/43099.1/12</f>
        <v>8.3261500046791408</v>
      </c>
      <c r="F68" s="515"/>
      <c r="G68" s="515"/>
      <c r="H68" s="201">
        <f>E68-3.4</f>
        <v>4.9261500046791404</v>
      </c>
      <c r="I68" s="99"/>
      <c r="J68" s="99"/>
      <c r="K68" s="99"/>
      <c r="L68" s="99"/>
      <c r="M68" s="99"/>
    </row>
    <row r="69" spans="1:13" ht="14.25" customHeight="1" x14ac:dyDescent="0.2">
      <c r="A69" s="169" t="s">
        <v>582</v>
      </c>
      <c r="B69" s="197" t="s">
        <v>583</v>
      </c>
      <c r="C69" s="194" t="s">
        <v>108</v>
      </c>
      <c r="D69" s="178">
        <v>1522087.8156000001</v>
      </c>
      <c r="E69" s="194">
        <v>2.94</v>
      </c>
      <c r="F69" s="515"/>
      <c r="G69" s="515"/>
      <c r="H69" s="99"/>
      <c r="I69" s="99"/>
      <c r="J69" s="99"/>
      <c r="K69" s="99"/>
      <c r="L69" s="99"/>
      <c r="M69" s="99"/>
    </row>
    <row r="70" spans="1:13" ht="15" customHeight="1" x14ac:dyDescent="0.2">
      <c r="A70" s="202" t="s">
        <v>584</v>
      </c>
      <c r="B70" s="203" t="s">
        <v>585</v>
      </c>
      <c r="C70" s="143" t="s">
        <v>81</v>
      </c>
      <c r="D70" s="204"/>
      <c r="E70" s="205"/>
      <c r="F70" s="510"/>
      <c r="G70" s="510"/>
      <c r="H70" s="177">
        <f>E68+E67+E71+E47</f>
        <v>24.49819335920186</v>
      </c>
      <c r="I70" s="99"/>
      <c r="J70" s="99"/>
      <c r="K70" s="99"/>
      <c r="L70" s="99"/>
      <c r="M70" s="99"/>
    </row>
    <row r="71" spans="1:13" ht="27.75" customHeight="1" x14ac:dyDescent="0.2">
      <c r="A71" s="206" t="s">
        <v>250</v>
      </c>
      <c r="B71" s="207" t="s">
        <v>586</v>
      </c>
      <c r="C71" s="208" t="s">
        <v>81</v>
      </c>
      <c r="D71" s="209">
        <v>3653731.1400000006</v>
      </c>
      <c r="E71" s="209">
        <v>7.0645928801297488</v>
      </c>
      <c r="F71" s="517" t="s">
        <v>684</v>
      </c>
      <c r="G71" s="518"/>
      <c r="H71" s="99"/>
      <c r="I71" s="99"/>
      <c r="J71" s="99"/>
      <c r="K71" s="99"/>
      <c r="L71" s="99"/>
      <c r="M71" s="99"/>
    </row>
    <row r="72" spans="1:13" ht="15" customHeight="1" x14ac:dyDescent="0.2">
      <c r="A72" s="210"/>
      <c r="B72" s="211" t="s">
        <v>587</v>
      </c>
      <c r="C72" s="212"/>
      <c r="D72" s="213">
        <f>D6+D24+D46+D58+D60+D71</f>
        <v>35784943.905599996</v>
      </c>
      <c r="E72" s="213">
        <f>E71+E60+E58+E46+E24+E6</f>
        <v>64.085680754530301</v>
      </c>
      <c r="F72" s="516">
        <f>'План ЖИЛЬЕ'!K222</f>
        <v>28291093.363600004</v>
      </c>
      <c r="G72" s="516">
        <f>F72/12/43099.1</f>
        <v>54.701632136943317</v>
      </c>
      <c r="H72" s="177">
        <f>E72-H70-E69-7.66</f>
        <v>28.98748739532844</v>
      </c>
      <c r="I72" s="99"/>
      <c r="J72" s="99"/>
      <c r="K72" s="99"/>
      <c r="L72" s="99"/>
      <c r="M72" s="99"/>
    </row>
    <row r="73" spans="1:13" ht="14.25" customHeight="1" x14ac:dyDescent="0.2">
      <c r="A73" s="214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</row>
    <row r="74" spans="1:13" ht="14.25" customHeight="1" x14ac:dyDescent="0.2">
      <c r="A74" s="497"/>
      <c r="B74" s="453"/>
      <c r="C74" s="453"/>
      <c r="D74" s="453"/>
      <c r="E74" s="453"/>
      <c r="H74" s="99"/>
      <c r="I74" s="99"/>
      <c r="J74" s="99"/>
      <c r="K74" s="99"/>
      <c r="L74" s="99"/>
      <c r="M74" s="99"/>
    </row>
    <row r="75" spans="1:13" ht="15" customHeight="1" x14ac:dyDescent="0.2">
      <c r="A75" s="215"/>
      <c r="B75" s="99"/>
      <c r="C75" s="99"/>
      <c r="D75" s="99"/>
      <c r="E75" s="177">
        <f>E72-E71-E57</f>
        <v>55.339729543638811</v>
      </c>
      <c r="F75" s="177"/>
      <c r="G75" s="177"/>
      <c r="H75" s="99"/>
      <c r="I75" s="99"/>
      <c r="J75" s="99"/>
      <c r="K75" s="99"/>
      <c r="L75" s="99"/>
      <c r="M75" s="99"/>
    </row>
    <row r="76" spans="1:13" ht="14.25" customHeight="1" x14ac:dyDescent="0.2">
      <c r="A76" s="4"/>
      <c r="B76" s="99"/>
      <c r="C76" s="99"/>
      <c r="D76" s="177"/>
      <c r="E76" s="201"/>
      <c r="F76" s="201"/>
      <c r="G76" s="201"/>
      <c r="H76" s="99"/>
      <c r="I76" s="99"/>
      <c r="J76" s="99"/>
      <c r="K76" s="99"/>
      <c r="L76" s="99"/>
      <c r="M76" s="99"/>
    </row>
    <row r="77" spans="1:13" ht="14.25" customHeight="1" x14ac:dyDescent="0.2">
      <c r="A77" s="4"/>
      <c r="B77" s="99"/>
      <c r="C77" s="99"/>
      <c r="D77" s="99"/>
      <c r="E77" s="177">
        <f>E75-29.43</f>
        <v>25.909729543638811</v>
      </c>
      <c r="F77" s="177"/>
      <c r="G77" s="177"/>
      <c r="H77" s="99"/>
      <c r="I77" s="99"/>
      <c r="J77" s="99"/>
      <c r="K77" s="99"/>
      <c r="L77" s="99"/>
      <c r="M77" s="99"/>
    </row>
    <row r="78" spans="1:13" ht="14.25" customHeight="1" x14ac:dyDescent="0.2">
      <c r="A78" s="4"/>
      <c r="B78" s="99"/>
      <c r="C78" s="177"/>
      <c r="D78" s="99"/>
      <c r="E78" s="177">
        <f>E72-29.43</f>
        <v>34.655680754530302</v>
      </c>
      <c r="F78" s="177"/>
      <c r="G78" s="177"/>
      <c r="H78" s="99"/>
      <c r="I78" s="99"/>
      <c r="J78" s="99"/>
      <c r="K78" s="99"/>
      <c r="L78" s="99"/>
      <c r="M78" s="99"/>
    </row>
    <row r="79" spans="1:13" ht="14.25" customHeight="1" x14ac:dyDescent="0.2">
      <c r="A79" s="4"/>
      <c r="B79" s="99"/>
      <c r="C79" s="99"/>
      <c r="D79" s="177"/>
      <c r="E79" s="177"/>
      <c r="F79" s="177"/>
      <c r="G79" s="177"/>
      <c r="H79" s="99"/>
      <c r="I79" s="99"/>
      <c r="J79" s="99"/>
      <c r="K79" s="99"/>
      <c r="L79" s="99"/>
      <c r="M79" s="99"/>
    </row>
    <row r="80" spans="1:13" ht="14.25" customHeight="1" x14ac:dyDescent="0.2">
      <c r="A80" s="4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</row>
    <row r="81" spans="1:13" ht="14.25" customHeight="1" x14ac:dyDescent="0.2">
      <c r="A81" s="4"/>
      <c r="B81" s="99"/>
      <c r="C81" s="99"/>
      <c r="D81" s="177"/>
      <c r="E81" s="99"/>
      <c r="F81" s="99"/>
      <c r="G81" s="99"/>
      <c r="H81" s="99"/>
      <c r="I81" s="99"/>
      <c r="J81" s="99"/>
      <c r="K81" s="99"/>
      <c r="L81" s="99"/>
      <c r="M81" s="99"/>
    </row>
    <row r="82" spans="1:13" ht="14.25" customHeight="1" x14ac:dyDescent="0.2">
      <c r="A82" s="4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</row>
    <row r="83" spans="1:13" ht="14.25" customHeight="1" x14ac:dyDescent="0.2">
      <c r="A83" s="4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</row>
    <row r="84" spans="1:13" ht="14.25" customHeight="1" x14ac:dyDescent="0.2">
      <c r="A84" s="4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</row>
    <row r="85" spans="1:13" ht="14.25" customHeight="1" x14ac:dyDescent="0.2">
      <c r="A85" s="4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</row>
    <row r="86" spans="1:13" ht="14.25" customHeight="1" x14ac:dyDescent="0.2">
      <c r="A86" s="4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</row>
    <row r="87" spans="1:13" ht="14.25" customHeight="1" x14ac:dyDescent="0.2">
      <c r="A87" s="4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</row>
    <row r="88" spans="1:13" ht="14.25" customHeight="1" x14ac:dyDescent="0.2">
      <c r="A88" s="4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</row>
    <row r="89" spans="1:13" ht="14.25" customHeight="1" x14ac:dyDescent="0.2">
      <c r="A89" s="4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</row>
    <row r="90" spans="1:13" ht="14.25" customHeight="1" x14ac:dyDescent="0.2">
      <c r="A90" s="4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</row>
    <row r="91" spans="1:13" ht="14.25" customHeight="1" x14ac:dyDescent="0.2">
      <c r="A91" s="4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</row>
    <row r="92" spans="1:13" ht="14.25" customHeight="1" x14ac:dyDescent="0.2">
      <c r="A92" s="4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</row>
    <row r="93" spans="1:13" ht="14.25" customHeight="1" x14ac:dyDescent="0.2">
      <c r="A93" s="4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</row>
    <row r="94" spans="1:13" ht="14.25" customHeight="1" x14ac:dyDescent="0.2">
      <c r="A94" s="4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</row>
    <row r="95" spans="1:13" ht="14.25" customHeight="1" x14ac:dyDescent="0.2">
      <c r="A95" s="4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</row>
    <row r="96" spans="1:13" ht="14.25" customHeight="1" x14ac:dyDescent="0.2">
      <c r="A96" s="4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</row>
    <row r="97" spans="1:13" ht="14.25" customHeight="1" x14ac:dyDescent="0.2">
      <c r="A97" s="4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</row>
    <row r="98" spans="1:13" ht="14.25" customHeight="1" x14ac:dyDescent="0.2">
      <c r="A98" s="4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ht="14.25" customHeight="1" x14ac:dyDescent="0.2">
      <c r="A99" s="4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ht="14.25" customHeight="1" x14ac:dyDescent="0.2">
      <c r="A100" s="4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</sheetData>
  <mergeCells count="10">
    <mergeCell ref="F71:G71"/>
    <mergeCell ref="A2:E2"/>
    <mergeCell ref="A3:E3"/>
    <mergeCell ref="D51:D54"/>
    <mergeCell ref="E51:E54"/>
    <mergeCell ref="A74:E74"/>
    <mergeCell ref="A40:A43"/>
    <mergeCell ref="C40:C43"/>
    <mergeCell ref="D40:D43"/>
    <mergeCell ref="E40:E4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План ЖИЛЬЕ</vt:lpstr>
      <vt:lpstr>Доп. мусор целевой</vt:lpstr>
      <vt:lpstr>Доп. охрана</vt:lpstr>
      <vt:lpstr>Доп. консъерж</vt:lpstr>
      <vt:lpstr>Доп. председаль</vt:lpstr>
      <vt:lpstr>Доп. ковры</vt:lpstr>
      <vt:lpstr>Тариф</vt:lpstr>
      <vt:lpstr>Тариф!_GoBack</vt:lpstr>
      <vt:lpstr>'План ЖИЛЬЕ'!Область_печати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Анна Сергеевна</dc:creator>
  <cp:lastModifiedBy>Microsoft Office User</cp:lastModifiedBy>
  <cp:lastPrinted>2021-10-27T07:33:51Z</cp:lastPrinted>
  <dcterms:created xsi:type="dcterms:W3CDTF">2006-09-28T05:33:49Z</dcterms:created>
  <dcterms:modified xsi:type="dcterms:W3CDTF">2021-10-28T12:44:21Z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