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4720" windowHeight="12168" activeTab="5"/>
  </bookViews>
  <sheets>
    <sheet name="Доп. мусор целевой" sheetId="1" r:id="rId1"/>
    <sheet name="Доп. охрана" sheetId="2" r:id="rId2"/>
    <sheet name="Доп. консъерж" sheetId="3" r:id="rId3"/>
    <sheet name="Доп. председаль" sheetId="4" r:id="rId4"/>
    <sheet name="Доп. ковры" sheetId="5" r:id="rId5"/>
    <sheet name="Тариф" sheetId="6" r:id="rId6"/>
  </sheets>
  <externalReferences>
    <externalReference r:id="rId9"/>
  </externalReferences>
  <definedNames>
    <definedName name="_GoBack" localSheetId="5">'Тариф'!$E$76</definedName>
    <definedName name="_xlnm.Print_Area" localSheetId="5">'Тариф'!$A$1:$J$76</definedName>
  </definedNames>
  <calcPr fullCalcOnLoad="1"/>
</workbook>
</file>

<file path=xl/sharedStrings.xml><?xml version="1.0" encoding="utf-8"?>
<sst xmlns="http://schemas.openxmlformats.org/spreadsheetml/2006/main" count="392" uniqueCount="211">
  <si>
    <t>кв.м.</t>
  </si>
  <si>
    <t>шт.</t>
  </si>
  <si>
    <t>по мере необходимости</t>
  </si>
  <si>
    <t>Крыши</t>
  </si>
  <si>
    <t>Внутренняя отделка в подъездах, технич.помещениях, и других помещениях общего пользования</t>
  </si>
  <si>
    <t>6</t>
  </si>
  <si>
    <t>Работы по содержанию и ремонту оборудования и систем инженерно-технического обеспечения, входящих в состав общего имущества МКД</t>
  </si>
  <si>
    <t>Ремонт, регулировка, промывка и опрессовка систем центрального отопления, утепление бойлеров</t>
  </si>
  <si>
    <t>Регулировка и наладка систем автоматики расширительных баков</t>
  </si>
  <si>
    <t>Обслуживание ламп-сигналов</t>
  </si>
  <si>
    <t>Обслуживание и ремонт АУУТЭ</t>
  </si>
  <si>
    <t>Обслуживание и ремонт АСКУЭ</t>
  </si>
  <si>
    <t>Обслуживание и ремонт тепловых пунктов</t>
  </si>
  <si>
    <t>ВСЕГО</t>
  </si>
  <si>
    <t>ежемесячно</t>
  </si>
  <si>
    <t>ежедневно</t>
  </si>
  <si>
    <t>Единица измерения</t>
  </si>
  <si>
    <t>Диспетчеризация систем инженерного оборудования</t>
  </si>
  <si>
    <t>Содержание и текущий ремонт системы видеонаблюдения</t>
  </si>
  <si>
    <t>Содержание и текущий ремонт системы домофонной связи</t>
  </si>
  <si>
    <t>2.1.</t>
  </si>
  <si>
    <t>2.2.</t>
  </si>
  <si>
    <t xml:space="preserve">РАСЧЕТ </t>
  </si>
  <si>
    <t>СТОИМОСТИ ЗАТРАТ</t>
  </si>
  <si>
    <t>ЦЕЛЕВОГО СБОРА НА ВЫВОЗ СТРОИТЕЛЬНОГО МУСОРА</t>
  </si>
  <si>
    <t>№ п/п</t>
  </si>
  <si>
    <t>Номенклатура затрат</t>
  </si>
  <si>
    <t>Показатель</t>
  </si>
  <si>
    <t>Натуральные показатели</t>
  </si>
  <si>
    <t>Площадь жилых/нежилых помещений</t>
  </si>
  <si>
    <t>Количество квартир/апарт. 1 комн.</t>
  </si>
  <si>
    <t>Количество квартир/апарт. 2 комн.</t>
  </si>
  <si>
    <t>Количество квартир/апарт. 3 комн.</t>
  </si>
  <si>
    <t>Количество квартир/апарт. 4 комн.</t>
  </si>
  <si>
    <t xml:space="preserve">Стоимость вывоза  1 комн. </t>
  </si>
  <si>
    <t>руб.</t>
  </si>
  <si>
    <t>Стоимость вывоза  2 комн.</t>
  </si>
  <si>
    <t>Стоимость вывоза  3 комн.</t>
  </si>
  <si>
    <t>Стоимость вывоза 4 комн.</t>
  </si>
  <si>
    <t>Итгого стоимость вывоза  1 комн.</t>
  </si>
  <si>
    <t>Итого стоимость вывоза  2 комн.</t>
  </si>
  <si>
    <t>Итого стоимость вывоза  3 комн.</t>
  </si>
  <si>
    <t>Итого стоимость вывоза  4 комн.</t>
  </si>
  <si>
    <t xml:space="preserve">Итого стоимость затрат </t>
  </si>
  <si>
    <t>калитки</t>
  </si>
  <si>
    <t>ворота</t>
  </si>
  <si>
    <t>покраска забора</t>
  </si>
  <si>
    <t>двери паркинга</t>
  </si>
  <si>
    <t>квартиры с ремонтом</t>
  </si>
  <si>
    <t>квартиры без ремонта</t>
  </si>
  <si>
    <t>5 постов</t>
  </si>
  <si>
    <t>Площадь
жилых и нежилых помещений,
в том числе Паркинг</t>
  </si>
  <si>
    <t>м2</t>
  </si>
  <si>
    <t>Прямые расходы,
в том числе:</t>
  </si>
  <si>
    <t>Количество постов диспетчера-контролера</t>
  </si>
  <si>
    <t>Затраты на 1 пост</t>
  </si>
  <si>
    <t>Рентабельность (12%)</t>
  </si>
  <si>
    <t>Итого стоимость затрат без НДС</t>
  </si>
  <si>
    <t>руб./мес.</t>
  </si>
  <si>
    <t>руб./пост</t>
  </si>
  <si>
    <t>руб./м2</t>
  </si>
  <si>
    <t>Итого стоимость затрат с НДС</t>
  </si>
  <si>
    <t>НА УСЛУГИ КОНСЪЕРЖА</t>
  </si>
  <si>
    <t xml:space="preserve">Количество постов </t>
  </si>
  <si>
    <t>НА УСЛУГИ ПРЕДСЕДАТЕЛЯ</t>
  </si>
  <si>
    <t>Замена ковров</t>
  </si>
  <si>
    <t>ПЕРЕЧЕНЬ</t>
  </si>
  <si>
    <t>N п/п</t>
  </si>
  <si>
    <t>Наименование (виды) работ и услуг</t>
  </si>
  <si>
    <t>Периодичность выполнения работ</t>
  </si>
  <si>
    <t>Цена на 1 кв.м., руб., в т.ч. НДС *</t>
  </si>
  <si>
    <t>1.</t>
  </si>
  <si>
    <t>Содержание и мелкий текущий ремонт конструктивных элементов зданий</t>
  </si>
  <si>
    <t>1.1.</t>
  </si>
  <si>
    <t>Фундаменты</t>
  </si>
  <si>
    <t>Устранение местных деформаций, усиление, восстановление поврежденных участков гидроизоляции фундаментов, вентиляционных продухов, приямков, отмостки, входов в подвалы</t>
  </si>
  <si>
    <t>1 раз в год</t>
  </si>
  <si>
    <t>1.2.</t>
  </si>
  <si>
    <t>Стены и фасады</t>
  </si>
  <si>
    <t>Осмотр состояния стен, фасадов. Удаление и снятие отделки наружной поверхности стен, укрепление домовых номерных знаков, лестничных указателей и других элементов визуальной информации, а также козырьков, перил крылец.</t>
  </si>
  <si>
    <t>2 раза в год</t>
  </si>
  <si>
    <t>Заделка трещин, отверстий, гнез, борозд, расшивка швов, восстановление облицовки, герметизация стыков, заделка и восстановление архитектурных элементов, простенков, перемычек, карнизов.</t>
  </si>
  <si>
    <t>1.3.</t>
  </si>
  <si>
    <t>Технический осмотр целостности гидроизоляционного покрытия и элементов его крепления; проверка вентиляционных каналов, закрытие слуховых окон, люков и входов на чердак. Укрепление и прочистка рядовых звеньев, водоприемных воронок, колен и отмета наружного водостока; промазка кровельных фальцев и образовавшихся свищей.</t>
  </si>
  <si>
    <t>1.4.</t>
  </si>
  <si>
    <t>Оконные и дверные заполнения</t>
  </si>
  <si>
    <t>Установка и снятие доводчиков пружин, упоров и пр.; смена и восстановление отдельных элементов, частичная замена оконных и дверных заполнений; работы по восстановлению разбитых стекол и сорванных створок оконных переплетов, форточек, дверных полотен.</t>
  </si>
  <si>
    <t>1.5.</t>
  </si>
  <si>
    <t>Лестницы, балконы, крыльца (зонты-козырьки) над входами в подъезды, подвалы, над балконами верхних этажей</t>
  </si>
  <si>
    <t>Замена выбоин, трещин ступеней лестниц и площадок, отдельных ступеней, проступей, подступенков; восстановление гидроизоляции в сопряжениях балконных плит, крылец, зонтов; восстановление или замена отельных элементов крылец, восстановление зонтов над входами в подъезды, подвалы и над балконами верхних этажей.</t>
  </si>
  <si>
    <t>1.6.</t>
  </si>
  <si>
    <t>Смена акустических плит в подвесных потолках отдельными местами, плиты акустические, марка "Армстронг", тип "Gedina" А, ремонт внутренней штукатурки стен, Заделка борозд после скрытой
прокладки электропроводки на стенах и
перегородках и пр.</t>
  </si>
  <si>
    <t>1.7.</t>
  </si>
  <si>
    <t>Полы в местах общего пользования</t>
  </si>
  <si>
    <t>Замена отдельных участков полов и покрытия полов, замена (устройство) гидроизоляции полов в местах, относящихся к общему имуществу дома.</t>
  </si>
  <si>
    <t>2.</t>
  </si>
  <si>
    <t>Содержание и мелкий текущий ремонт внутридомового инженерного оборудования и инженерных сетей</t>
  </si>
  <si>
    <t>Проведение технических осмотров и мелкий текущий ремонт инженерного оборудования и систем</t>
  </si>
  <si>
    <t>2.1.1.</t>
  </si>
  <si>
    <t>Осмотр водопровода, канализации и горячего водоснабжения.</t>
  </si>
  <si>
    <t>2.1.2.</t>
  </si>
  <si>
    <t>Осмотр электросети, арматура, силовых установок, электрооборудование на лестничных клетках.</t>
  </si>
  <si>
    <t>1 раз в месяц</t>
  </si>
  <si>
    <t>Обслуживание систем дымоудаления и пожарной автоматики</t>
  </si>
  <si>
    <t>Проведение электротехнических замеров:</t>
  </si>
  <si>
    <t>согласно требованиям технических регламентов</t>
  </si>
  <si>
    <t>- сопротивления;</t>
  </si>
  <si>
    <t>- изоляции;</t>
  </si>
  <si>
    <t>- фазы-нуль</t>
  </si>
  <si>
    <t>Содержание и текущий ремонт лифтового хозяйства, подъемных устройств и платформ</t>
  </si>
  <si>
    <t>2.2.1.</t>
  </si>
  <si>
    <t>Техническое обслуживание и ремонт лифтов включает: проведение смазки, чистки, наладки, регулировки, ремонта, замены лифтового оборудования и аварийно-техническое круглосуточное обслуживание с эвакуацией пассажиров, ремонт и пуск лифта.</t>
  </si>
  <si>
    <t>3.</t>
  </si>
  <si>
    <t>Благоустройство и обеспечение санитарного состояния жилых зданий и придомовых территорий</t>
  </si>
  <si>
    <t>3.1.</t>
  </si>
  <si>
    <t>Уборка лестничных клеток</t>
  </si>
  <si>
    <t>3.1.1.</t>
  </si>
  <si>
    <t>3.1.2.</t>
  </si>
  <si>
    <t>1 раз в неделю</t>
  </si>
  <si>
    <t>3.1.3.</t>
  </si>
  <si>
    <t>Мытье лестничных клеток и маршей</t>
  </si>
  <si>
    <t>2 раза в месяц</t>
  </si>
  <si>
    <t>3.1.4.</t>
  </si>
  <si>
    <t>Влажная протирка стен, дверей, плафонов и потолков кабины лифта</t>
  </si>
  <si>
    <t>3.1.5.</t>
  </si>
  <si>
    <t>Влажная протирка плафонов на лестничных клетках, оконных решеток, подоконников, почтовых ящиков, обментание пыли с потолков</t>
  </si>
  <si>
    <t>1 раза в год</t>
  </si>
  <si>
    <t>3.1.6.</t>
  </si>
  <si>
    <t>Влажная протирка подоконников, отопительных приборов</t>
  </si>
  <si>
    <t>3.1.7.</t>
  </si>
  <si>
    <t>Мытье дверей и окон</t>
  </si>
  <si>
    <t>3.1.8.</t>
  </si>
  <si>
    <t>3.1.9.</t>
  </si>
  <si>
    <t>Уборка чердачного и подвального помещений</t>
  </si>
  <si>
    <t>Дератизация и дезинсекция мест общего пользования</t>
  </si>
  <si>
    <t>4.</t>
  </si>
  <si>
    <t>Аварийно-диспетчерское обслуживание</t>
  </si>
  <si>
    <t>4.1.</t>
  </si>
  <si>
    <t>Аварийное обслуживание</t>
  </si>
  <si>
    <t>На системах водоснабжения, теплоснабжения,  в течение 30 минут; на системах канализации в течение 30 минут; на системах энергоснабжения в течение 30 минут после получения заявки диспетчером. протечки кровли ___1__ сутки(ок)
нарушение водоотвода___5__ суток
замена разбитого стекла  __1__ сутки(ок)
неисправность осветительного оборудования помещений общего пользования ___7__ сутки(ок)
неисправность электрической проводки оборудования ____3____ часов
неисправность лифта ___24___ часов
 с момента получения заявки</t>
  </si>
  <si>
    <t>5.</t>
  </si>
  <si>
    <t>Прочие услуги</t>
  </si>
  <si>
    <t>5.1.</t>
  </si>
  <si>
    <t>Техническое обслуживание электрооборудования (эл.плит)</t>
  </si>
  <si>
    <t>5.2.</t>
  </si>
  <si>
    <t>Техническое обслуживание счетчиков (ОДПУ)
холодной и горячей воды</t>
  </si>
  <si>
    <t>5.3.</t>
  </si>
  <si>
    <t>5.4.</t>
  </si>
  <si>
    <t>Работы по содержанию земельного участка</t>
  </si>
  <si>
    <t>Вывоз и  обезвреживание ТБО, КГМ</t>
  </si>
  <si>
    <t>Услуги по управлению многокварирным домом</t>
  </si>
  <si>
    <t>Прочие и непредвиденные работы и услуги</t>
  </si>
  <si>
    <t>ИТОГО</t>
  </si>
  <si>
    <t>Все виды работ по устранению неисправностей кровель (кроме полной замены), включая все элементы примыкания к конструкциям, покрытия парапетов, козырьков и зонты над трубами; укрепление и замена водосточных труб, парапетных решеток, пожарных лестниц, стремянок, гильз, устройств заземления здания, очистка кровель</t>
  </si>
  <si>
    <t>Укрепление и регулировка пружин, доводчиков и амортизаторов на входных дверях, укрепление стекол, ручек и шпингалетов на оконных и дверных заполнениях; закрытие подвальных и чердачных дверей, металлических решеток и лазов на замке, сезонная подготовка</t>
  </si>
  <si>
    <t>4 раза в год</t>
  </si>
  <si>
    <t>2.3.</t>
  </si>
  <si>
    <t>2.3.1.</t>
  </si>
  <si>
    <t>Содержание и текущий ремонт систем отопления, холодного и горячего водоснабжения, канализации</t>
  </si>
  <si>
    <t>Содержание и текущий ремонт системы электроснабжения</t>
  </si>
  <si>
    <t>Содержание и текущий ремонт вентиляционных каналов и дымоходов</t>
  </si>
  <si>
    <t>Обслуживание и ремонт системы ОЗДС</t>
  </si>
  <si>
    <t>Работы по текущему ремонту элементов благоустройства и территории</t>
  </si>
  <si>
    <t>1.2.1.</t>
  </si>
  <si>
    <t>1.2.2.</t>
  </si>
  <si>
    <t>1.3.1.</t>
  </si>
  <si>
    <t>1.3.2.</t>
  </si>
  <si>
    <t>1.4.1.</t>
  </si>
  <si>
    <t>1.4.2.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</si>
  <si>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</si>
  <si>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</si>
  <si>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</si>
  <si>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</si>
  <si>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</si>
  <si>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</si>
  <si>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</si>
  <si>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</si>
  <si>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</si>
  <si>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</si>
  <si>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</si>
  <si>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Дополнительная уборка</t>
  </si>
  <si>
    <t>по решению ОСС</t>
  </si>
  <si>
    <t xml:space="preserve">Содержание и текущий ремонт СКУД </t>
  </si>
  <si>
    <t>3 поста</t>
  </si>
  <si>
    <t>5.5.</t>
  </si>
  <si>
    <t>5.6.</t>
  </si>
  <si>
    <t>5.7.</t>
  </si>
  <si>
    <t>5.8.</t>
  </si>
  <si>
    <t>5.9.</t>
  </si>
  <si>
    <t>Техническое обслуживание и текущий ремонт
системы противопожарной защиты в
22-этажных зданиях с приточно-вытяжной
вентиляцией с 2 приточными и 1 вытяжным
вентиляторами  с сигнализацией</t>
  </si>
  <si>
    <t>Содержание системы газоанализа паркинга</t>
  </si>
  <si>
    <t>Мытье кабины лифта</t>
  </si>
  <si>
    <t>ежегодно</t>
  </si>
  <si>
    <t>после снегопада</t>
  </si>
  <si>
    <t>Очистка кровли от снега (в т.ч. со
сбрасыванием снега вниз и
формирование его в валы) при толщине
снега до 20 см (стилобат)</t>
  </si>
  <si>
    <t xml:space="preserve"> работ и услуг по содержанию и ремонту общего имущества  многоквартирного дома по адресу:  Дмитривское шоссе д. 107, корп. 1</t>
  </si>
  <si>
    <t>Стоимость рубот\услуг в год, руб. в т.ч. НДС (жилье+паркинг)</t>
  </si>
  <si>
    <t>Стоимость работ и услуг в год, руб., в т.ч НДС (жилье)</t>
  </si>
  <si>
    <t>Стоимость работ и услуг в год, руб., в т.ч НДС (паркинг)</t>
  </si>
  <si>
    <t>Влажное подметание лестничных площадок и маршей до 2 го этажа</t>
  </si>
  <si>
    <t>Влажное подметание лестничных площадок и маршей выше 2 го этажа</t>
  </si>
  <si>
    <t>Стоимость работ и услуг в год, руб., в т.ч НДС (нежилье - ТЦ + их паркинг)</t>
  </si>
  <si>
    <t>Приложение № 8</t>
  </si>
  <si>
    <t>Приложение № 9</t>
  </si>
  <si>
    <t>Приложение № 10</t>
  </si>
  <si>
    <t>Приложение № 11</t>
  </si>
  <si>
    <t>НА ОХРАННЫЕ УСЛУГИ для жилых помещений и паркинга</t>
  </si>
  <si>
    <t>тариф без доп услуг по уборке</t>
  </si>
  <si>
    <t>тариф без доп услуг по  текущему ремонту территории</t>
  </si>
  <si>
    <t>НА ОХРАННЫЕ УСЛУГИ для нежилых помещений</t>
  </si>
  <si>
    <t>2 поста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</si>
</sst>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00000"/>
    <numFmt numFmtId="176" formatCode="0.000"/>
    <numFmt numFmtId="177" formatCode="0.0000"/>
    <numFmt numFmtId="178" formatCode="#,##0.00;[Red]\-\ #,##0.00"/>
    <numFmt numFmtId="179" formatCode="mmmm"/>
    <numFmt numFmtId="180" formatCode="#,##0.00####;[Red]\-\ #,##0.00#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0"/>
    <numFmt numFmtId="187" formatCode="[$-FC19]d\ mmmm\ yyyy\ &quot;г.&quot;"/>
    <numFmt numFmtId="188" formatCode="#,##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 New"/>
      <family val="3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8"/>
      <name val="Times New Roman"/>
      <family val="1"/>
    </font>
    <font>
      <b/>
      <sz val="9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60"/>
      <name val="Times New Roman"/>
      <family val="1"/>
    </font>
    <font>
      <b/>
      <u val="single"/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1"/>
      <name val="Times New Roman"/>
      <family val="1"/>
    </font>
    <font>
      <i/>
      <sz val="9"/>
      <color rgb="FF000099"/>
      <name val="Times New Roman"/>
      <family val="1"/>
    </font>
    <font>
      <b/>
      <sz val="9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1D1D1D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rgb="FFC00000"/>
      <name val="Times New Roman"/>
      <family val="1"/>
    </font>
    <font>
      <b/>
      <u val="single"/>
      <sz val="9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/>
      <bottom style="medium"/>
    </border>
    <border>
      <left style="medium"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43" fontId="60" fillId="0" borderId="0" xfId="0" applyNumberFormat="1" applyFont="1" applyAlignment="1">
      <alignment horizontal="center" vertical="center" wrapText="1"/>
    </xf>
    <xf numFmtId="3" fontId="60" fillId="0" borderId="0" xfId="0" applyNumberFormat="1" applyFont="1" applyAlignment="1">
      <alignment horizontal="center" vertical="center" wrapText="1"/>
    </xf>
    <xf numFmtId="43" fontId="61" fillId="0" borderId="0" xfId="0" applyNumberFormat="1" applyFont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43" fontId="62" fillId="33" borderId="11" xfId="0" applyNumberFormat="1" applyFont="1" applyFill="1" applyBorder="1" applyAlignment="1">
      <alignment horizontal="center" vertical="center" wrapText="1"/>
    </xf>
    <xf numFmtId="43" fontId="62" fillId="33" borderId="10" xfId="0" applyNumberFormat="1" applyFont="1" applyFill="1" applyBorder="1" applyAlignment="1">
      <alignment horizontal="center" vertical="center" wrapText="1"/>
    </xf>
    <xf numFmtId="43" fontId="62" fillId="33" borderId="12" xfId="0" applyNumberFormat="1" applyFont="1" applyFill="1" applyBorder="1" applyAlignment="1">
      <alignment horizontal="center" vertical="center" wrapText="1"/>
    </xf>
    <xf numFmtId="3" fontId="62" fillId="0" borderId="13" xfId="0" applyNumberFormat="1" applyFont="1" applyFill="1" applyBorder="1" applyAlignment="1">
      <alignment horizontal="center" vertical="center" wrapText="1"/>
    </xf>
    <xf numFmtId="43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3" fontId="63" fillId="0" borderId="0" xfId="0" applyNumberFormat="1" applyFont="1" applyAlignment="1">
      <alignment horizontal="center" vertical="center" wrapText="1"/>
    </xf>
    <xf numFmtId="3" fontId="63" fillId="0" borderId="14" xfId="0" applyNumberFormat="1" applyFont="1" applyBorder="1" applyAlignment="1">
      <alignment horizontal="center" vertical="center" wrapText="1"/>
    </xf>
    <xf numFmtId="43" fontId="63" fillId="0" borderId="15" xfId="0" applyNumberFormat="1" applyFont="1" applyBorder="1" applyAlignment="1">
      <alignment horizontal="center" vertical="center" wrapText="1"/>
    </xf>
    <xf numFmtId="4" fontId="63" fillId="0" borderId="15" xfId="0" applyNumberFormat="1" applyFont="1" applyBorder="1" applyAlignment="1">
      <alignment horizontal="center" vertical="center" wrapText="1"/>
    </xf>
    <xf numFmtId="3" fontId="63" fillId="0" borderId="15" xfId="0" applyNumberFormat="1" applyFont="1" applyBorder="1" applyAlignment="1">
      <alignment horizontal="center" vertical="center" wrapText="1"/>
    </xf>
    <xf numFmtId="3" fontId="62" fillId="0" borderId="14" xfId="0" applyNumberFormat="1" applyFont="1" applyBorder="1" applyAlignment="1">
      <alignment horizontal="center" vertical="center" wrapText="1"/>
    </xf>
    <xf numFmtId="43" fontId="62" fillId="0" borderId="0" xfId="0" applyNumberFormat="1" applyFont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/>
    </xf>
    <xf numFmtId="43" fontId="62" fillId="0" borderId="17" xfId="0" applyNumberFormat="1" applyFont="1" applyBorder="1" applyAlignment="1">
      <alignment horizontal="center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43" fontId="62" fillId="33" borderId="15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>
      <alignment horizontal="center" vertical="center" wrapText="1"/>
    </xf>
    <xf numFmtId="43" fontId="62" fillId="33" borderId="17" xfId="0" applyNumberFormat="1" applyFont="1" applyFill="1" applyBorder="1" applyAlignment="1">
      <alignment horizontal="center" vertical="center" wrapText="1"/>
    </xf>
    <xf numFmtId="4" fontId="62" fillId="33" borderId="17" xfId="0" applyNumberFormat="1" applyFont="1" applyFill="1" applyBorder="1" applyAlignment="1">
      <alignment horizontal="center" vertical="center" wrapText="1"/>
    </xf>
    <xf numFmtId="43" fontId="61" fillId="0" borderId="0" xfId="0" applyNumberFormat="1" applyFont="1" applyAlignment="1">
      <alignment horizontal="left" vertical="center" wrapText="1"/>
    </xf>
    <xf numFmtId="43" fontId="61" fillId="0" borderId="0" xfId="0" applyNumberFormat="1" applyFont="1" applyAlignment="1">
      <alignment/>
    </xf>
    <xf numFmtId="43" fontId="64" fillId="0" borderId="0" xfId="0" applyNumberFormat="1" applyFont="1" applyAlignment="1">
      <alignment horizontal="center" vertical="center" wrapText="1"/>
    </xf>
    <xf numFmtId="3" fontId="61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43" fontId="4" fillId="0" borderId="0" xfId="0" applyNumberFormat="1" applyFont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43" fontId="6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0" fillId="0" borderId="15" xfId="0" applyNumberFormat="1" applyFont="1" applyBorder="1" applyAlignment="1">
      <alignment horizontal="center" vertical="center" wrapText="1"/>
    </xf>
    <xf numFmtId="43" fontId="60" fillId="0" borderId="15" xfId="0" applyNumberFormat="1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center" vertical="center" wrapText="1"/>
    </xf>
    <xf numFmtId="43" fontId="64" fillId="0" borderId="0" xfId="0" applyNumberFormat="1" applyFont="1" applyFill="1" applyAlignment="1">
      <alignment horizontal="center" vertical="center" wrapText="1"/>
    </xf>
    <xf numFmtId="43" fontId="6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16" fontId="66" fillId="0" borderId="20" xfId="0" applyNumberFormat="1" applyFont="1" applyBorder="1" applyAlignment="1">
      <alignment horizontal="center" vertical="center" wrapText="1"/>
    </xf>
    <xf numFmtId="0" fontId="67" fillId="0" borderId="21" xfId="0" applyFont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19" borderId="15" xfId="0" applyFont="1" applyFill="1" applyBorder="1" applyAlignment="1">
      <alignment horizontal="center" vertical="center" wrapText="1"/>
    </xf>
    <xf numFmtId="0" fontId="65" fillId="19" borderId="0" xfId="0" applyFont="1" applyFill="1" applyBorder="1" applyAlignment="1">
      <alignment wrapText="1"/>
    </xf>
    <xf numFmtId="0" fontId="65" fillId="19" borderId="15" xfId="0" applyFont="1" applyFill="1" applyBorder="1" applyAlignment="1">
      <alignment horizontal="center" wrapText="1"/>
    </xf>
    <xf numFmtId="4" fontId="65" fillId="19" borderId="14" xfId="0" applyNumberFormat="1" applyFont="1" applyFill="1" applyBorder="1" applyAlignment="1">
      <alignment horizontal="center" vertical="center" wrapText="1"/>
    </xf>
    <xf numFmtId="0" fontId="65" fillId="19" borderId="22" xfId="0" applyFont="1" applyFill="1" applyBorder="1" applyAlignment="1">
      <alignment horizontal="center" vertical="center" wrapText="1"/>
    </xf>
    <xf numFmtId="0" fontId="65" fillId="19" borderId="23" xfId="0" applyFont="1" applyFill="1" applyBorder="1" applyAlignment="1">
      <alignment wrapText="1"/>
    </xf>
    <xf numFmtId="0" fontId="65" fillId="19" borderId="22" xfId="0" applyFont="1" applyFill="1" applyBorder="1" applyAlignment="1">
      <alignment horizontal="center" wrapText="1"/>
    </xf>
    <xf numFmtId="4" fontId="65" fillId="19" borderId="24" xfId="0" applyNumberFormat="1" applyFont="1" applyFill="1" applyBorder="1" applyAlignment="1">
      <alignment horizontal="center" vertical="center" wrapText="1"/>
    </xf>
    <xf numFmtId="0" fontId="65" fillId="19" borderId="25" xfId="0" applyFont="1" applyFill="1" applyBorder="1" applyAlignment="1">
      <alignment horizontal="center" vertical="center" wrapText="1"/>
    </xf>
    <xf numFmtId="0" fontId="65" fillId="19" borderId="26" xfId="0" applyFont="1" applyFill="1" applyBorder="1" applyAlignment="1">
      <alignment wrapText="1"/>
    </xf>
    <xf numFmtId="0" fontId="65" fillId="19" borderId="25" xfId="0" applyFont="1" applyFill="1" applyBorder="1" applyAlignment="1">
      <alignment horizontal="center" wrapText="1"/>
    </xf>
    <xf numFmtId="4" fontId="65" fillId="19" borderId="27" xfId="0" applyNumberFormat="1" applyFont="1" applyFill="1" applyBorder="1" applyAlignment="1">
      <alignment horizontal="center" vertical="center" wrapText="1"/>
    </xf>
    <xf numFmtId="4" fontId="65" fillId="19" borderId="22" xfId="0" applyNumberFormat="1" applyFont="1" applyFill="1" applyBorder="1" applyAlignment="1">
      <alignment horizontal="center" vertical="center" wrapText="1"/>
    </xf>
    <xf numFmtId="4" fontId="65" fillId="19" borderId="15" xfId="0" applyNumberFormat="1" applyFont="1" applyFill="1" applyBorder="1" applyAlignment="1">
      <alignment horizontal="center" vertical="center" wrapText="1"/>
    </xf>
    <xf numFmtId="4" fontId="65" fillId="19" borderId="25" xfId="0" applyNumberFormat="1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wrapText="1"/>
    </xf>
    <xf numFmtId="0" fontId="67" fillId="0" borderId="20" xfId="0" applyFont="1" applyBorder="1" applyAlignment="1">
      <alignment wrapText="1"/>
    </xf>
    <xf numFmtId="4" fontId="67" fillId="0" borderId="28" xfId="0" applyNumberFormat="1" applyFont="1" applyBorder="1" applyAlignment="1">
      <alignment horizontal="center" vertical="center" wrapText="1"/>
    </xf>
    <xf numFmtId="0" fontId="65" fillId="19" borderId="20" xfId="0" applyFont="1" applyFill="1" applyBorder="1" applyAlignment="1">
      <alignment horizontal="center" vertical="center" wrapText="1"/>
    </xf>
    <xf numFmtId="0" fontId="65" fillId="19" borderId="21" xfId="0" applyFont="1" applyFill="1" applyBorder="1" applyAlignment="1">
      <alignment wrapText="1"/>
    </xf>
    <xf numFmtId="0" fontId="65" fillId="19" borderId="20" xfId="0" applyFont="1" applyFill="1" applyBorder="1" applyAlignment="1">
      <alignment horizontal="center" wrapText="1"/>
    </xf>
    <xf numFmtId="4" fontId="65" fillId="19" borderId="28" xfId="0" applyNumberFormat="1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wrapText="1"/>
    </xf>
    <xf numFmtId="0" fontId="65" fillId="19" borderId="17" xfId="0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wrapText="1"/>
    </xf>
    <xf numFmtId="0" fontId="65" fillId="0" borderId="25" xfId="0" applyFont="1" applyFill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16" fontId="66" fillId="0" borderId="17" xfId="0" applyNumberFormat="1" applyFont="1" applyBorder="1" applyAlignment="1">
      <alignment horizontal="center" vertical="center" wrapText="1"/>
    </xf>
    <xf numFmtId="0" fontId="66" fillId="0" borderId="28" xfId="0" applyFont="1" applyBorder="1" applyAlignment="1">
      <alignment wrapText="1"/>
    </xf>
    <xf numFmtId="0" fontId="65" fillId="0" borderId="20" xfId="0" applyFont="1" applyBorder="1" applyAlignment="1">
      <alignment/>
    </xf>
    <xf numFmtId="14" fontId="65" fillId="17" borderId="22" xfId="0" applyNumberFormat="1" applyFont="1" applyFill="1" applyBorder="1" applyAlignment="1">
      <alignment horizontal="center" vertical="center" wrapText="1"/>
    </xf>
    <xf numFmtId="0" fontId="65" fillId="17" borderId="23" xfId="0" applyFont="1" applyFill="1" applyBorder="1" applyAlignment="1">
      <alignment wrapText="1"/>
    </xf>
    <xf numFmtId="0" fontId="65" fillId="17" borderId="22" xfId="0" applyFont="1" applyFill="1" applyBorder="1" applyAlignment="1">
      <alignment horizontal="center" wrapText="1"/>
    </xf>
    <xf numFmtId="4" fontId="65" fillId="17" borderId="24" xfId="0" applyNumberFormat="1" applyFont="1" applyFill="1" applyBorder="1" applyAlignment="1">
      <alignment horizontal="center" vertical="center" wrapText="1"/>
    </xf>
    <xf numFmtId="4" fontId="65" fillId="17" borderId="29" xfId="0" applyNumberFormat="1" applyFont="1" applyFill="1" applyBorder="1" applyAlignment="1">
      <alignment horizontal="center" vertical="center" wrapText="1"/>
    </xf>
    <xf numFmtId="4" fontId="65" fillId="17" borderId="30" xfId="0" applyNumberFormat="1" applyFont="1" applyFill="1" applyBorder="1" applyAlignment="1">
      <alignment horizontal="center" vertical="center" wrapText="1"/>
    </xf>
    <xf numFmtId="14" fontId="65" fillId="17" borderId="25" xfId="0" applyNumberFormat="1" applyFont="1" applyFill="1" applyBorder="1" applyAlignment="1">
      <alignment horizontal="center" vertical="center" wrapText="1"/>
    </xf>
    <xf numFmtId="0" fontId="65" fillId="17" borderId="26" xfId="0" applyFont="1" applyFill="1" applyBorder="1" applyAlignment="1">
      <alignment wrapText="1"/>
    </xf>
    <xf numFmtId="0" fontId="65" fillId="17" borderId="25" xfId="0" applyFont="1" applyFill="1" applyBorder="1" applyAlignment="1">
      <alignment horizontal="center" wrapText="1"/>
    </xf>
    <xf numFmtId="14" fontId="66" fillId="0" borderId="20" xfId="0" applyNumberFormat="1" applyFont="1" applyBorder="1" applyAlignment="1">
      <alignment horizontal="center" vertical="center" wrapText="1"/>
    </xf>
    <xf numFmtId="0" fontId="68" fillId="0" borderId="31" xfId="33" applyFont="1" applyBorder="1" applyAlignment="1">
      <alignment horizontal="left" vertical="center" wrapText="1"/>
      <protection/>
    </xf>
    <xf numFmtId="0" fontId="66" fillId="0" borderId="20" xfId="0" applyFont="1" applyBorder="1" applyAlignment="1">
      <alignment horizontal="center" wrapText="1"/>
    </xf>
    <xf numFmtId="4" fontId="66" fillId="0" borderId="10" xfId="0" applyNumberFormat="1" applyFont="1" applyBorder="1" applyAlignment="1">
      <alignment horizontal="center" vertical="center" wrapText="1"/>
    </xf>
    <xf numFmtId="0" fontId="65" fillId="17" borderId="23" xfId="0" applyFont="1" applyFill="1" applyBorder="1" applyAlignment="1">
      <alignment horizontal="left" vertical="center" wrapText="1"/>
    </xf>
    <xf numFmtId="4" fontId="65" fillId="17" borderId="22" xfId="0" applyNumberFormat="1" applyFont="1" applyFill="1" applyBorder="1" applyAlignment="1">
      <alignment horizontal="center" vertical="center" wrapText="1"/>
    </xf>
    <xf numFmtId="14" fontId="65" fillId="17" borderId="32" xfId="0" applyNumberFormat="1" applyFont="1" applyFill="1" applyBorder="1" applyAlignment="1">
      <alignment horizontal="center" vertical="center" wrapText="1"/>
    </xf>
    <xf numFmtId="0" fontId="65" fillId="17" borderId="33" xfId="0" applyFont="1" applyFill="1" applyBorder="1" applyAlignment="1">
      <alignment wrapText="1"/>
    </xf>
    <xf numFmtId="0" fontId="65" fillId="17" borderId="32" xfId="0" applyFont="1" applyFill="1" applyBorder="1" applyAlignment="1">
      <alignment horizontal="center" wrapText="1"/>
    </xf>
    <xf numFmtId="4" fontId="65" fillId="17" borderId="34" xfId="0" applyNumberFormat="1" applyFont="1" applyFill="1" applyBorder="1" applyAlignment="1">
      <alignment horizontal="center" vertical="center" wrapText="1"/>
    </xf>
    <xf numFmtId="4" fontId="65" fillId="17" borderId="32" xfId="0" applyNumberFormat="1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left" vertical="center" wrapText="1" shrinkToFit="1"/>
    </xf>
    <xf numFmtId="0" fontId="6" fillId="17" borderId="35" xfId="0" applyFont="1" applyFill="1" applyBorder="1" applyAlignment="1">
      <alignment horizontal="left" vertical="center" wrapText="1"/>
    </xf>
    <xf numFmtId="49" fontId="65" fillId="17" borderId="32" xfId="0" applyNumberFormat="1" applyFont="1" applyFill="1" applyBorder="1" applyAlignment="1">
      <alignment horizontal="center" vertical="center" wrapText="1"/>
    </xf>
    <xf numFmtId="0" fontId="6" fillId="17" borderId="33" xfId="0" applyFont="1" applyFill="1" applyBorder="1" applyAlignment="1">
      <alignment wrapText="1"/>
    </xf>
    <xf numFmtId="49" fontId="65" fillId="0" borderId="32" xfId="0" applyNumberFormat="1" applyFont="1" applyBorder="1" applyAlignment="1">
      <alignment horizontal="center" vertical="center" wrapText="1"/>
    </xf>
    <xf numFmtId="0" fontId="65" fillId="0" borderId="33" xfId="0" applyFont="1" applyBorder="1" applyAlignment="1">
      <alignment wrapText="1"/>
    </xf>
    <xf numFmtId="0" fontId="65" fillId="0" borderId="32" xfId="0" applyFont="1" applyBorder="1" applyAlignment="1">
      <alignment horizontal="center" wrapText="1"/>
    </xf>
    <xf numFmtId="4" fontId="65" fillId="0" borderId="32" xfId="0" applyNumberFormat="1" applyFont="1" applyBorder="1" applyAlignment="1">
      <alignment horizontal="center" vertical="center" wrapText="1"/>
    </xf>
    <xf numFmtId="49" fontId="65" fillId="17" borderId="25" xfId="0" applyNumberFormat="1" applyFont="1" applyFill="1" applyBorder="1" applyAlignment="1">
      <alignment horizontal="center" vertical="center" wrapText="1"/>
    </xf>
    <xf numFmtId="0" fontId="69" fillId="17" borderId="35" xfId="0" applyFont="1" applyFill="1" applyBorder="1" applyAlignment="1">
      <alignment horizontal="left" vertical="center" wrapText="1"/>
    </xf>
    <xf numFmtId="14" fontId="65" fillId="17" borderId="15" xfId="0" applyNumberFormat="1" applyFont="1" applyFill="1" applyBorder="1" applyAlignment="1">
      <alignment horizontal="center" vertical="center" wrapText="1"/>
    </xf>
    <xf numFmtId="0" fontId="65" fillId="17" borderId="0" xfId="0" applyFont="1" applyFill="1" applyBorder="1" applyAlignment="1">
      <alignment wrapText="1"/>
    </xf>
    <xf numFmtId="0" fontId="67" fillId="0" borderId="28" xfId="0" applyFont="1" applyBorder="1" applyAlignment="1">
      <alignment wrapText="1" shrinkToFit="1"/>
    </xf>
    <xf numFmtId="0" fontId="67" fillId="0" borderId="20" xfId="0" applyFont="1" applyBorder="1" applyAlignment="1">
      <alignment wrapText="1" shrinkToFit="1"/>
    </xf>
    <xf numFmtId="14" fontId="65" fillId="8" borderId="22" xfId="0" applyNumberFormat="1" applyFont="1" applyFill="1" applyBorder="1" applyAlignment="1">
      <alignment horizontal="center" vertical="center" wrapText="1"/>
    </xf>
    <xf numFmtId="0" fontId="65" fillId="8" borderId="23" xfId="0" applyFont="1" applyFill="1" applyBorder="1" applyAlignment="1">
      <alignment wrapText="1"/>
    </xf>
    <xf numFmtId="0" fontId="65" fillId="8" borderId="22" xfId="0" applyFont="1" applyFill="1" applyBorder="1" applyAlignment="1">
      <alignment horizontal="center" wrapText="1"/>
    </xf>
    <xf numFmtId="14" fontId="65" fillId="8" borderId="32" xfId="0" applyNumberFormat="1" applyFont="1" applyFill="1" applyBorder="1" applyAlignment="1">
      <alignment horizontal="center" vertical="center" wrapText="1"/>
    </xf>
    <xf numFmtId="0" fontId="65" fillId="8" borderId="33" xfId="0" applyFont="1" applyFill="1" applyBorder="1" applyAlignment="1">
      <alignment wrapText="1"/>
    </xf>
    <xf numFmtId="0" fontId="65" fillId="8" borderId="32" xfId="0" applyFont="1" applyFill="1" applyBorder="1" applyAlignment="1">
      <alignment horizontal="center" wrapText="1"/>
    </xf>
    <xf numFmtId="4" fontId="65" fillId="8" borderId="34" xfId="0" applyNumberFormat="1" applyFont="1" applyFill="1" applyBorder="1" applyAlignment="1">
      <alignment horizontal="center" vertical="center" wrapText="1"/>
    </xf>
    <xf numFmtId="4" fontId="65" fillId="8" borderId="32" xfId="0" applyNumberFormat="1" applyFont="1" applyFill="1" applyBorder="1" applyAlignment="1">
      <alignment horizontal="center" vertical="center" wrapText="1"/>
    </xf>
    <xf numFmtId="14" fontId="65" fillId="8" borderId="25" xfId="0" applyNumberFormat="1" applyFont="1" applyFill="1" applyBorder="1" applyAlignment="1">
      <alignment horizontal="center" vertical="center" wrapText="1"/>
    </xf>
    <xf numFmtId="0" fontId="65" fillId="8" borderId="26" xfId="0" applyFont="1" applyFill="1" applyBorder="1" applyAlignment="1">
      <alignment wrapText="1"/>
    </xf>
    <xf numFmtId="0" fontId="65" fillId="8" borderId="25" xfId="0" applyFont="1" applyFill="1" applyBorder="1" applyAlignment="1">
      <alignment horizontal="center" wrapText="1"/>
    </xf>
    <xf numFmtId="14" fontId="65" fillId="8" borderId="36" xfId="0" applyNumberFormat="1" applyFont="1" applyFill="1" applyBorder="1" applyAlignment="1">
      <alignment horizontal="center" vertical="center" wrapText="1"/>
    </xf>
    <xf numFmtId="0" fontId="65" fillId="8" borderId="37" xfId="0" applyFont="1" applyFill="1" applyBorder="1" applyAlignment="1">
      <alignment wrapText="1"/>
    </xf>
    <xf numFmtId="0" fontId="65" fillId="8" borderId="36" xfId="0" applyFont="1" applyFill="1" applyBorder="1" applyAlignment="1">
      <alignment horizontal="center" wrapText="1"/>
    </xf>
    <xf numFmtId="16" fontId="65" fillId="34" borderId="22" xfId="0" applyNumberFormat="1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vertical="center" wrapText="1"/>
    </xf>
    <xf numFmtId="0" fontId="70" fillId="34" borderId="15" xfId="0" applyFont="1" applyFill="1" applyBorder="1" applyAlignment="1">
      <alignment wrapText="1"/>
    </xf>
    <xf numFmtId="4" fontId="65" fillId="34" borderId="24" xfId="0" applyNumberFormat="1" applyFont="1" applyFill="1" applyBorder="1" applyAlignment="1">
      <alignment horizontal="center" vertical="center" wrapText="1"/>
    </xf>
    <xf numFmtId="4" fontId="65" fillId="34" borderId="14" xfId="0" applyNumberFormat="1" applyFont="1" applyFill="1" applyBorder="1" applyAlignment="1">
      <alignment horizontal="center" vertical="center" wrapText="1"/>
    </xf>
    <xf numFmtId="4" fontId="65" fillId="34" borderId="20" xfId="0" applyNumberFormat="1" applyFont="1" applyFill="1" applyBorder="1" applyAlignment="1">
      <alignment horizontal="center" vertical="center"/>
    </xf>
    <xf numFmtId="16" fontId="71" fillId="0" borderId="30" xfId="0" applyNumberFormat="1" applyFont="1" applyBorder="1" applyAlignment="1">
      <alignment horizontal="center" vertical="center" wrapText="1"/>
    </xf>
    <xf numFmtId="0" fontId="71" fillId="0" borderId="38" xfId="0" applyFont="1" applyBorder="1" applyAlignment="1">
      <alignment wrapText="1"/>
    </xf>
    <xf numFmtId="0" fontId="71" fillId="0" borderId="30" xfId="0" applyFont="1" applyBorder="1" applyAlignment="1">
      <alignment horizontal="center" wrapText="1"/>
    </xf>
    <xf numFmtId="16" fontId="65" fillId="35" borderId="22" xfId="0" applyNumberFormat="1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left" vertical="center" wrapText="1"/>
    </xf>
    <xf numFmtId="0" fontId="65" fillId="35" borderId="32" xfId="0" applyFont="1" applyFill="1" applyBorder="1" applyAlignment="1">
      <alignment horizontal="center" wrapText="1"/>
    </xf>
    <xf numFmtId="4" fontId="65" fillId="35" borderId="24" xfId="0" applyNumberFormat="1" applyFont="1" applyFill="1" applyBorder="1" applyAlignment="1">
      <alignment horizontal="center" vertical="center" wrapText="1"/>
    </xf>
    <xf numFmtId="2" fontId="65" fillId="35" borderId="32" xfId="0" applyNumberFormat="1" applyFont="1" applyFill="1" applyBorder="1" applyAlignment="1">
      <alignment horizontal="center" wrapText="1"/>
    </xf>
    <xf numFmtId="0" fontId="6" fillId="35" borderId="33" xfId="0" applyFont="1" applyFill="1" applyBorder="1" applyAlignment="1">
      <alignment horizontal="left" vertical="center" wrapText="1" shrinkToFit="1"/>
    </xf>
    <xf numFmtId="49" fontId="65" fillId="35" borderId="22" xfId="0" applyNumberFormat="1" applyFont="1" applyFill="1" applyBorder="1" applyAlignment="1">
      <alignment horizontal="center" vertical="center" wrapText="1"/>
    </xf>
    <xf numFmtId="49" fontId="65" fillId="35" borderId="32" xfId="0" applyNumberFormat="1" applyFont="1" applyFill="1" applyBorder="1" applyAlignment="1">
      <alignment horizontal="center" vertical="center" wrapText="1"/>
    </xf>
    <xf numFmtId="2" fontId="6" fillId="35" borderId="33" xfId="0" applyNumberFormat="1" applyFont="1" applyFill="1" applyBorder="1" applyAlignment="1">
      <alignment wrapText="1"/>
    </xf>
    <xf numFmtId="49" fontId="65" fillId="35" borderId="15" xfId="0" applyNumberFormat="1" applyFont="1" applyFill="1" applyBorder="1" applyAlignment="1">
      <alignment horizontal="center" vertical="center" wrapText="1"/>
    </xf>
    <xf numFmtId="2" fontId="6" fillId="35" borderId="26" xfId="0" applyNumberFormat="1" applyFont="1" applyFill="1" applyBorder="1" applyAlignment="1">
      <alignment wrapText="1"/>
    </xf>
    <xf numFmtId="2" fontId="65" fillId="35" borderId="25" xfId="0" applyNumberFormat="1" applyFont="1" applyFill="1" applyBorder="1" applyAlignment="1">
      <alignment horizontal="center" wrapText="1"/>
    </xf>
    <xf numFmtId="49" fontId="65" fillId="0" borderId="1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wrapText="1"/>
    </xf>
    <xf numFmtId="0" fontId="65" fillId="0" borderId="17" xfId="0" applyFont="1" applyBorder="1" applyAlignment="1">
      <alignment horizontal="center" wrapText="1"/>
    </xf>
    <xf numFmtId="49" fontId="67" fillId="0" borderId="17" xfId="0" applyNumberFormat="1" applyFont="1" applyBorder="1" applyAlignment="1">
      <alignment horizontal="center" vertical="center" wrapText="1"/>
    </xf>
    <xf numFmtId="0" fontId="67" fillId="0" borderId="39" xfId="0" applyFont="1" applyBorder="1" applyAlignment="1">
      <alignment wrapText="1"/>
    </xf>
    <xf numFmtId="0" fontId="67" fillId="0" borderId="20" xfId="0" applyFont="1" applyBorder="1" applyAlignment="1">
      <alignment horizontal="center" wrapText="1"/>
    </xf>
    <xf numFmtId="4" fontId="67" fillId="0" borderId="16" xfId="0" applyNumberFormat="1" applyFont="1" applyBorder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/>
    </xf>
    <xf numFmtId="4" fontId="66" fillId="0" borderId="28" xfId="0" applyNumberFormat="1" applyFont="1" applyBorder="1" applyAlignment="1">
      <alignment horizontal="center" vertical="center" wrapText="1"/>
    </xf>
    <xf numFmtId="4" fontId="65" fillId="8" borderId="27" xfId="0" applyNumberFormat="1" applyFont="1" applyFill="1" applyBorder="1" applyAlignment="1">
      <alignment horizontal="center" vertical="center" wrapText="1"/>
    </xf>
    <xf numFmtId="4" fontId="65" fillId="8" borderId="25" xfId="0" applyNumberFormat="1" applyFont="1" applyFill="1" applyBorder="1" applyAlignment="1">
      <alignment horizontal="center" vertical="center" wrapText="1"/>
    </xf>
    <xf numFmtId="4" fontId="65" fillId="8" borderId="15" xfId="0" applyNumberFormat="1" applyFont="1" applyFill="1" applyBorder="1" applyAlignment="1">
      <alignment horizontal="center" vertical="center" wrapText="1"/>
    </xf>
    <xf numFmtId="4" fontId="65" fillId="8" borderId="22" xfId="0" applyNumberFormat="1" applyFont="1" applyFill="1" applyBorder="1" applyAlignment="1">
      <alignment horizontal="center" vertical="center" wrapText="1"/>
    </xf>
    <xf numFmtId="4" fontId="65" fillId="8" borderId="10" xfId="0" applyNumberFormat="1" applyFont="1" applyFill="1" applyBorder="1" applyAlignment="1">
      <alignment horizontal="center" vertical="center" wrapText="1"/>
    </xf>
    <xf numFmtId="4" fontId="65" fillId="17" borderId="25" xfId="0" applyNumberFormat="1" applyFont="1" applyFill="1" applyBorder="1" applyAlignment="1">
      <alignment horizontal="center" vertical="center" wrapText="1"/>
    </xf>
    <xf numFmtId="4" fontId="65" fillId="17" borderId="15" xfId="0" applyNumberFormat="1" applyFont="1" applyFill="1" applyBorder="1" applyAlignment="1">
      <alignment horizontal="center" vertical="center" wrapText="1"/>
    </xf>
    <xf numFmtId="4" fontId="65" fillId="17" borderId="27" xfId="0" applyNumberFormat="1" applyFont="1" applyFill="1" applyBorder="1" applyAlignment="1">
      <alignment horizontal="center" vertical="center" wrapText="1"/>
    </xf>
    <xf numFmtId="4" fontId="65" fillId="17" borderId="14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 vertical="center" wrapText="1"/>
    </xf>
    <xf numFmtId="4" fontId="66" fillId="0" borderId="20" xfId="0" applyNumberFormat="1" applyFont="1" applyBorder="1" applyAlignment="1">
      <alignment horizontal="center" vertical="center" wrapText="1"/>
    </xf>
    <xf numFmtId="4" fontId="65" fillId="19" borderId="20" xfId="0" applyNumberFormat="1" applyFont="1" applyFill="1" applyBorder="1" applyAlignment="1">
      <alignment horizontal="center" vertical="center" wrapText="1"/>
    </xf>
    <xf numFmtId="4" fontId="65" fillId="0" borderId="14" xfId="0" applyNumberFormat="1" applyFont="1" applyFill="1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Border="1" applyAlignment="1">
      <alignment horizontal="center" vertical="center" wrapText="1"/>
    </xf>
    <xf numFmtId="4" fontId="65" fillId="17" borderId="34" xfId="0" applyNumberFormat="1" applyFont="1" applyFill="1" applyBorder="1" applyAlignment="1">
      <alignment horizontal="center" vertical="center"/>
    </xf>
    <xf numFmtId="4" fontId="65" fillId="36" borderId="34" xfId="0" applyNumberFormat="1" applyFont="1" applyFill="1" applyBorder="1" applyAlignment="1">
      <alignment horizontal="center" vertical="center"/>
    </xf>
    <xf numFmtId="4" fontId="65" fillId="8" borderId="40" xfId="0" applyNumberFormat="1" applyFont="1" applyFill="1" applyBorder="1" applyAlignment="1">
      <alignment horizontal="center" vertical="center" wrapText="1"/>
    </xf>
    <xf numFmtId="4" fontId="65" fillId="8" borderId="36" xfId="0" applyNumberFormat="1" applyFont="1" applyFill="1" applyBorder="1" applyAlignment="1">
      <alignment horizontal="center" vertical="center" wrapText="1"/>
    </xf>
    <xf numFmtId="4" fontId="71" fillId="0" borderId="29" xfId="0" applyNumberFormat="1" applyFont="1" applyFill="1" applyBorder="1" applyAlignment="1">
      <alignment horizontal="center" vertical="center" wrapText="1"/>
    </xf>
    <xf numFmtId="4" fontId="71" fillId="0" borderId="24" xfId="0" applyNumberFormat="1" applyFont="1" applyFill="1" applyBorder="1" applyAlignment="1">
      <alignment horizontal="center" vertical="center" wrapText="1"/>
    </xf>
    <xf numFmtId="4" fontId="71" fillId="0" borderId="22" xfId="0" applyNumberFormat="1" applyFont="1" applyBorder="1" applyAlignment="1">
      <alignment horizontal="center" vertical="center" wrapText="1"/>
    </xf>
    <xf numFmtId="4" fontId="65" fillId="35" borderId="34" xfId="0" applyNumberFormat="1" applyFont="1" applyFill="1" applyBorder="1" applyAlignment="1">
      <alignment horizontal="center" vertical="center"/>
    </xf>
    <xf numFmtId="4" fontId="65" fillId="35" borderId="34" xfId="0" applyNumberFormat="1" applyFont="1" applyFill="1" applyBorder="1" applyAlignment="1">
      <alignment horizontal="center" vertical="center" wrapText="1"/>
    </xf>
    <xf numFmtId="4" fontId="65" fillId="35" borderId="27" xfId="0" applyNumberFormat="1" applyFont="1" applyFill="1" applyBorder="1" applyAlignment="1">
      <alignment horizontal="center" vertical="center" wrapText="1"/>
    </xf>
    <xf numFmtId="4" fontId="65" fillId="0" borderId="16" xfId="0" applyNumberFormat="1" applyFont="1" applyFill="1" applyBorder="1" applyAlignment="1">
      <alignment horizontal="center" vertical="center" wrapText="1"/>
    </xf>
    <xf numFmtId="4" fontId="65" fillId="0" borderId="17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4" fontId="72" fillId="19" borderId="14" xfId="0" applyNumberFormat="1" applyFont="1" applyFill="1" applyBorder="1" applyAlignment="1">
      <alignment horizontal="center" vertical="center" wrapText="1"/>
    </xf>
    <xf numFmtId="4" fontId="72" fillId="19" borderId="24" xfId="0" applyNumberFormat="1" applyFont="1" applyFill="1" applyBorder="1" applyAlignment="1">
      <alignment horizontal="center" vertical="center" wrapText="1"/>
    </xf>
    <xf numFmtId="4" fontId="72" fillId="19" borderId="27" xfId="0" applyNumberFormat="1" applyFont="1" applyFill="1" applyBorder="1" applyAlignment="1">
      <alignment horizontal="center" vertical="center" wrapText="1"/>
    </xf>
    <xf numFmtId="4" fontId="67" fillId="0" borderId="20" xfId="0" applyNumberFormat="1" applyFont="1" applyBorder="1" applyAlignment="1">
      <alignment horizontal="center" vertical="center" wrapText="1"/>
    </xf>
    <xf numFmtId="4" fontId="72" fillId="19" borderId="30" xfId="0" applyNumberFormat="1" applyFont="1" applyFill="1" applyBorder="1" applyAlignment="1">
      <alignment horizontal="center" vertical="center" wrapText="1"/>
    </xf>
    <xf numFmtId="4" fontId="72" fillId="19" borderId="28" xfId="0" applyNumberFormat="1" applyFont="1" applyFill="1" applyBorder="1" applyAlignment="1">
      <alignment horizontal="center" vertical="center" wrapText="1"/>
    </xf>
    <xf numFmtId="4" fontId="72" fillId="17" borderId="24" xfId="0" applyNumberFormat="1" applyFont="1" applyFill="1" applyBorder="1" applyAlignment="1">
      <alignment horizontal="center" vertical="center" wrapText="1"/>
    </xf>
    <xf numFmtId="4" fontId="72" fillId="17" borderId="27" xfId="0" applyNumberFormat="1" applyFont="1" applyFill="1" applyBorder="1" applyAlignment="1">
      <alignment horizontal="center" vertical="center" wrapText="1"/>
    </xf>
    <xf numFmtId="4" fontId="72" fillId="17" borderId="14" xfId="0" applyNumberFormat="1" applyFont="1" applyFill="1" applyBorder="1" applyAlignment="1">
      <alignment horizontal="center" vertical="center" wrapText="1"/>
    </xf>
    <xf numFmtId="4" fontId="72" fillId="8" borderId="34" xfId="0" applyNumberFormat="1" applyFont="1" applyFill="1" applyBorder="1" applyAlignment="1">
      <alignment horizontal="center" vertical="center" wrapText="1"/>
    </xf>
    <xf numFmtId="4" fontId="73" fillId="34" borderId="14" xfId="0" applyNumberFormat="1" applyFont="1" applyFill="1" applyBorder="1" applyAlignment="1">
      <alignment horizontal="center" vertical="center" wrapText="1"/>
    </xf>
    <xf numFmtId="4" fontId="72" fillId="35" borderId="24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" fontId="72" fillId="0" borderId="0" xfId="0" applyNumberFormat="1" applyFont="1" applyAlignment="1">
      <alignment horizontal="center" vertical="center"/>
    </xf>
    <xf numFmtId="4" fontId="72" fillId="0" borderId="14" xfId="0" applyNumberFormat="1" applyFont="1" applyFill="1" applyBorder="1" applyAlignment="1">
      <alignment horizontal="center" vertical="center" wrapText="1"/>
    </xf>
    <xf numFmtId="4" fontId="72" fillId="0" borderId="34" xfId="0" applyNumberFormat="1" applyFont="1" applyBorder="1" applyAlignment="1">
      <alignment horizontal="center" vertical="center" wrapText="1"/>
    </xf>
    <xf numFmtId="4" fontId="74" fillId="0" borderId="29" xfId="0" applyNumberFormat="1" applyFont="1" applyBorder="1" applyAlignment="1">
      <alignment horizontal="center" vertical="center" wrapText="1"/>
    </xf>
    <xf numFmtId="4" fontId="65" fillId="35" borderId="32" xfId="0" applyNumberFormat="1" applyFont="1" applyFill="1" applyBorder="1" applyAlignment="1">
      <alignment horizontal="center" vertical="center" wrapText="1"/>
    </xf>
    <xf numFmtId="4" fontId="65" fillId="35" borderId="25" xfId="0" applyNumberFormat="1" applyFont="1" applyFill="1" applyBorder="1" applyAlignment="1">
      <alignment horizontal="center" vertical="center" wrapText="1"/>
    </xf>
    <xf numFmtId="4" fontId="72" fillId="0" borderId="16" xfId="0" applyNumberFormat="1" applyFont="1" applyBorder="1" applyAlignment="1">
      <alignment horizontal="center" vertical="center" wrapText="1"/>
    </xf>
    <xf numFmtId="43" fontId="62" fillId="33" borderId="15" xfId="0" applyNumberFormat="1" applyFont="1" applyFill="1" applyBorder="1" applyAlignment="1">
      <alignment horizontal="center" vertical="center" wrapText="1"/>
    </xf>
    <xf numFmtId="43" fontId="62" fillId="33" borderId="17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43" fontId="62" fillId="33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4" fontId="75" fillId="0" borderId="0" xfId="0" applyNumberFormat="1" applyFont="1" applyAlignment="1">
      <alignment horizontal="center" vertical="center"/>
    </xf>
    <xf numFmtId="3" fontId="76" fillId="0" borderId="0" xfId="0" applyNumberFormat="1" applyFont="1" applyAlignment="1">
      <alignment horizontal="center" vertical="center" wrapText="1"/>
    </xf>
    <xf numFmtId="3" fontId="77" fillId="0" borderId="0" xfId="0" applyNumberFormat="1" applyFont="1" applyAlignment="1">
      <alignment horizontal="center" vertical="center" wrapText="1"/>
    </xf>
    <xf numFmtId="3" fontId="78" fillId="0" borderId="0" xfId="0" applyNumberFormat="1" applyFont="1" applyAlignment="1">
      <alignment horizontal="center" vertical="center" wrapText="1"/>
    </xf>
    <xf numFmtId="3" fontId="62" fillId="33" borderId="15" xfId="0" applyNumberFormat="1" applyFont="1" applyFill="1" applyBorder="1" applyAlignment="1">
      <alignment horizontal="center" vertical="center" wrapText="1"/>
    </xf>
    <xf numFmtId="3" fontId="62" fillId="33" borderId="17" xfId="0" applyNumberFormat="1" applyFont="1" applyFill="1" applyBorder="1" applyAlignment="1">
      <alignment horizontal="center" vertical="center" wrapText="1"/>
    </xf>
    <xf numFmtId="43" fontId="62" fillId="33" borderId="15" xfId="0" applyNumberFormat="1" applyFont="1" applyFill="1" applyBorder="1" applyAlignment="1">
      <alignment horizontal="center" vertical="center" wrapText="1"/>
    </xf>
    <xf numFmtId="43" fontId="62" fillId="33" borderId="17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center" vertical="center" wrapText="1"/>
    </xf>
    <xf numFmtId="3" fontId="79" fillId="0" borderId="0" xfId="0" applyNumberFormat="1" applyFont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43" fontId="62" fillId="33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4" fontId="65" fillId="8" borderId="10" xfId="0" applyNumberFormat="1" applyFont="1" applyFill="1" applyBorder="1" applyAlignment="1">
      <alignment horizontal="center" vertical="center" wrapText="1"/>
    </xf>
    <xf numFmtId="4" fontId="65" fillId="8" borderId="15" xfId="0" applyNumberFormat="1" applyFont="1" applyFill="1" applyBorder="1" applyAlignment="1">
      <alignment horizontal="center" vertical="center" wrapText="1"/>
    </xf>
    <xf numFmtId="4" fontId="65" fillId="8" borderId="22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wrapText="1"/>
    </xf>
    <xf numFmtId="49" fontId="65" fillId="17" borderId="25" xfId="0" applyNumberFormat="1" applyFont="1" applyFill="1" applyBorder="1" applyAlignment="1">
      <alignment horizontal="center" vertical="center" wrapText="1"/>
    </xf>
    <xf numFmtId="49" fontId="65" fillId="17" borderId="15" xfId="0" applyNumberFormat="1" applyFont="1" applyFill="1" applyBorder="1" applyAlignment="1">
      <alignment horizontal="center" vertical="center" wrapText="1"/>
    </xf>
    <xf numFmtId="49" fontId="65" fillId="17" borderId="17" xfId="0" applyNumberFormat="1" applyFont="1" applyFill="1" applyBorder="1" applyAlignment="1">
      <alignment horizontal="center" vertical="center" wrapText="1"/>
    </xf>
    <xf numFmtId="0" fontId="65" fillId="17" borderId="25" xfId="0" applyFont="1" applyFill="1" applyBorder="1" applyAlignment="1">
      <alignment horizontal="center" vertical="center" wrapText="1"/>
    </xf>
    <xf numFmtId="0" fontId="65" fillId="17" borderId="15" xfId="0" applyFont="1" applyFill="1" applyBorder="1" applyAlignment="1">
      <alignment horizontal="center" vertical="center" wrapText="1"/>
    </xf>
    <xf numFmtId="0" fontId="65" fillId="17" borderId="17" xfId="0" applyFont="1" applyFill="1" applyBorder="1" applyAlignment="1">
      <alignment horizontal="center" vertical="center" wrapText="1"/>
    </xf>
    <xf numFmtId="4" fontId="65" fillId="17" borderId="27" xfId="0" applyNumberFormat="1" applyFont="1" applyFill="1" applyBorder="1" applyAlignment="1">
      <alignment horizontal="center" vertical="center" wrapText="1"/>
    </xf>
    <xf numFmtId="4" fontId="65" fillId="17" borderId="14" xfId="0" applyNumberFormat="1" applyFont="1" applyFill="1" applyBorder="1" applyAlignment="1">
      <alignment horizontal="center" vertical="center" wrapText="1"/>
    </xf>
    <xf numFmtId="4" fontId="65" fillId="17" borderId="16" xfId="0" applyNumberFormat="1" applyFont="1" applyFill="1" applyBorder="1" applyAlignment="1">
      <alignment horizontal="center" vertical="center" wrapText="1"/>
    </xf>
    <xf numFmtId="4" fontId="65" fillId="17" borderId="25" xfId="0" applyNumberFormat="1" applyFont="1" applyFill="1" applyBorder="1" applyAlignment="1">
      <alignment horizontal="center" vertical="center" wrapText="1"/>
    </xf>
    <xf numFmtId="4" fontId="65" fillId="17" borderId="15" xfId="0" applyNumberFormat="1" applyFont="1" applyFill="1" applyBorder="1" applyAlignment="1">
      <alignment horizontal="center" vertical="center" wrapText="1"/>
    </xf>
    <xf numFmtId="4" fontId="65" fillId="17" borderId="17" xfId="0" applyNumberFormat="1" applyFont="1" applyFill="1" applyBorder="1" applyAlignment="1">
      <alignment horizontal="center" vertical="center" wrapText="1"/>
    </xf>
    <xf numFmtId="4" fontId="72" fillId="17" borderId="25" xfId="0" applyNumberFormat="1" applyFont="1" applyFill="1" applyBorder="1" applyAlignment="1">
      <alignment horizontal="center" vertical="center" wrapText="1"/>
    </xf>
    <xf numFmtId="4" fontId="72" fillId="17" borderId="15" xfId="0" applyNumberFormat="1" applyFont="1" applyFill="1" applyBorder="1" applyAlignment="1">
      <alignment horizontal="center" vertical="center" wrapText="1"/>
    </xf>
    <xf numFmtId="4" fontId="72" fillId="17" borderId="17" xfId="0" applyNumberFormat="1" applyFont="1" applyFill="1" applyBorder="1" applyAlignment="1">
      <alignment horizontal="center" vertical="center" wrapText="1"/>
    </xf>
    <xf numFmtId="4" fontId="72" fillId="8" borderId="10" xfId="0" applyNumberFormat="1" applyFont="1" applyFill="1" applyBorder="1" applyAlignment="1">
      <alignment horizontal="center" vertical="center" wrapText="1"/>
    </xf>
    <xf numFmtId="4" fontId="72" fillId="8" borderId="15" xfId="0" applyNumberFormat="1" applyFont="1" applyFill="1" applyBorder="1" applyAlignment="1">
      <alignment horizontal="center" vertical="center" wrapText="1"/>
    </xf>
    <xf numFmtId="4" fontId="72" fillId="8" borderId="22" xfId="0" applyNumberFormat="1" applyFont="1" applyFill="1" applyBorder="1" applyAlignment="1">
      <alignment horizontal="center" vertical="center" wrapText="1"/>
    </xf>
    <xf numFmtId="4" fontId="72" fillId="8" borderId="25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vertical="center" wrapText="1" shrinkToFit="1"/>
    </xf>
    <xf numFmtId="4" fontId="65" fillId="8" borderId="27" xfId="0" applyNumberFormat="1" applyFont="1" applyFill="1" applyBorder="1" applyAlignment="1">
      <alignment horizontal="center" vertical="center" wrapText="1"/>
    </xf>
    <xf numFmtId="4" fontId="65" fillId="8" borderId="14" xfId="0" applyNumberFormat="1" applyFont="1" applyFill="1" applyBorder="1" applyAlignment="1">
      <alignment horizontal="center" vertical="center" wrapText="1"/>
    </xf>
    <xf numFmtId="4" fontId="65" fillId="8" borderId="24" xfId="0" applyNumberFormat="1" applyFont="1" applyFill="1" applyBorder="1" applyAlignment="1">
      <alignment horizontal="center" vertical="center" wrapText="1"/>
    </xf>
    <xf numFmtId="4" fontId="65" fillId="8" borderId="25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20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elena.kudryashova\Desktop\&#1050;&#1091;&#1076;&#1088;&#1103;&#1096;&#1086;&#1074;&#1072;\&#1058;&#1040;&#1056;&#1048;&#1060;&#1067;\&#1058;&#1072;&#1088;&#1080;&#1092;&#1099;_2019\&#1051;&#1057;\&#1058;&#1072;&#1088;&#1080;&#1092;_&#1057;&#1080;&#1056;_2019_v1%20(&#1064;.%20&#1044;&#1084;&#1080;&#1090;&#1088;&#1086;&#1074;&#1089;&#1082;&#1086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ровка1"/>
      <sheetName val="Тех.лист"/>
      <sheetName val="Лист2"/>
      <sheetName val="СМЕТА_Доп.услуги"/>
      <sheetName val="Сравн.анализ"/>
      <sheetName val="БЕЗ ПРИБЫЛИ"/>
      <sheetName val="СМЕТА_118"/>
      <sheetName val="ССР_СО_26.80"/>
      <sheetName val="СМЕТА_СО_26.80"/>
      <sheetName val="БДР_месяц_СО_26.80"/>
      <sheetName val="С ПРИБЫЛЬЮ"/>
      <sheetName val="ССР_СиР_77.76"/>
      <sheetName val="СМЕТА_СиР_77.76"/>
      <sheetName val="БДР_месяц_СиР_ ___"/>
      <sheetName val="БДР_месяц_СО_ ___"/>
      <sheetName val="БДР_месяц_ТР_ ___"/>
      <sheetName val="БДР_месяц_ТР_Тариф"/>
      <sheetName val="СиР_2013"/>
      <sheetName val="ПП"/>
    </sheetNames>
    <sheetDataSet>
      <sheetData sheetId="8">
        <row r="6">
          <cell r="C6">
            <v>94401.5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50"/>
  <sheetViews>
    <sheetView zoomScale="160" zoomScaleNormal="160" zoomScalePageLayoutView="0" workbookViewId="0" topLeftCell="A10">
      <selection activeCell="E18" sqref="E18"/>
    </sheetView>
  </sheetViews>
  <sheetFormatPr defaultColWidth="9.140625" defaultRowHeight="15"/>
  <cols>
    <col min="1" max="1" width="6.8515625" style="30" customWidth="1"/>
    <col min="2" max="2" width="9.140625" style="31" customWidth="1"/>
    <col min="3" max="3" width="32.28125" style="30" customWidth="1"/>
    <col min="4" max="4" width="14.00390625" style="30" customWidth="1"/>
    <col min="5" max="5" width="13.00390625" style="30" customWidth="1"/>
    <col min="6" max="6" width="6.57421875" style="32" customWidth="1"/>
    <col min="7" max="7" width="6.421875" style="0" customWidth="1"/>
    <col min="8" max="8" width="8.421875" style="31" customWidth="1"/>
    <col min="9" max="9" width="29.57421875" style="30" customWidth="1"/>
    <col min="10" max="10" width="14.00390625" style="30" customWidth="1"/>
    <col min="11" max="11" width="13.8515625" style="30" customWidth="1"/>
  </cols>
  <sheetData>
    <row r="1" spans="1:11" ht="14.25">
      <c r="A1" s="1"/>
      <c r="B1" s="2"/>
      <c r="C1" s="1"/>
      <c r="D1" s="1"/>
      <c r="E1" s="1"/>
      <c r="F1" s="3"/>
      <c r="H1" s="2"/>
      <c r="I1" s="1"/>
      <c r="J1" s="1"/>
      <c r="K1" s="1"/>
    </row>
    <row r="2" spans="1:11" ht="14.25">
      <c r="A2" s="1"/>
      <c r="B2" s="2"/>
      <c r="C2" s="1"/>
      <c r="D2" s="1"/>
      <c r="E2" s="1"/>
      <c r="F2" s="3"/>
      <c r="H2" s="2"/>
      <c r="I2" s="1"/>
      <c r="J2" s="1"/>
      <c r="K2" s="1"/>
    </row>
    <row r="3" spans="1:11" ht="15" customHeight="1">
      <c r="A3" s="1"/>
      <c r="B3" s="229" t="s">
        <v>22</v>
      </c>
      <c r="C3" s="229"/>
      <c r="D3" s="229"/>
      <c r="E3" s="229"/>
      <c r="F3" s="3"/>
      <c r="H3" s="229" t="s">
        <v>22</v>
      </c>
      <c r="I3" s="229"/>
      <c r="J3" s="229"/>
      <c r="K3" s="229"/>
    </row>
    <row r="4" spans="1:11" ht="15" customHeight="1">
      <c r="A4" s="1"/>
      <c r="B4" s="230" t="s">
        <v>23</v>
      </c>
      <c r="C4" s="230"/>
      <c r="D4" s="230"/>
      <c r="E4" s="230"/>
      <c r="F4" s="3"/>
      <c r="H4" s="230" t="s">
        <v>23</v>
      </c>
      <c r="I4" s="230"/>
      <c r="J4" s="230"/>
      <c r="K4" s="230"/>
    </row>
    <row r="5" spans="1:11" ht="15" customHeight="1">
      <c r="A5" s="1"/>
      <c r="B5" s="231" t="s">
        <v>24</v>
      </c>
      <c r="C5" s="231"/>
      <c r="D5" s="231"/>
      <c r="E5" s="231"/>
      <c r="F5" s="3"/>
      <c r="H5" s="231" t="s">
        <v>24</v>
      </c>
      <c r="I5" s="231"/>
      <c r="J5" s="231"/>
      <c r="K5" s="231"/>
    </row>
    <row r="6" spans="1:11" ht="15" thickBot="1">
      <c r="A6" s="1"/>
      <c r="B6" s="2"/>
      <c r="C6" s="1" t="s">
        <v>49</v>
      </c>
      <c r="D6" s="1"/>
      <c r="E6" s="1"/>
      <c r="F6" s="3"/>
      <c r="H6" s="2"/>
      <c r="I6" s="1" t="s">
        <v>48</v>
      </c>
      <c r="J6" s="1"/>
      <c r="K6" s="1"/>
    </row>
    <row r="7" spans="1:11" ht="23.25" thickBot="1">
      <c r="A7" s="1"/>
      <c r="B7" s="4" t="s">
        <v>25</v>
      </c>
      <c r="C7" s="5" t="s">
        <v>26</v>
      </c>
      <c r="D7" s="6" t="s">
        <v>16</v>
      </c>
      <c r="E7" s="7" t="s">
        <v>27</v>
      </c>
      <c r="F7" s="3"/>
      <c r="H7" s="4" t="s">
        <v>25</v>
      </c>
      <c r="I7" s="5" t="s">
        <v>26</v>
      </c>
      <c r="J7" s="6" t="s">
        <v>16</v>
      </c>
      <c r="K7" s="7" t="s">
        <v>27</v>
      </c>
    </row>
    <row r="8" spans="1:11" ht="14.25">
      <c r="A8" s="1"/>
      <c r="B8" s="8">
        <v>1</v>
      </c>
      <c r="C8" s="9" t="s">
        <v>28</v>
      </c>
      <c r="D8" s="9"/>
      <c r="E8" s="10"/>
      <c r="F8" s="3"/>
      <c r="H8" s="8">
        <v>1</v>
      </c>
      <c r="I8" s="9" t="s">
        <v>28</v>
      </c>
      <c r="J8" s="9"/>
      <c r="K8" s="10"/>
    </row>
    <row r="9" spans="1:11" ht="24">
      <c r="A9" s="11"/>
      <c r="B9" s="12"/>
      <c r="C9" s="13" t="s">
        <v>29</v>
      </c>
      <c r="D9" s="13" t="s">
        <v>0</v>
      </c>
      <c r="E9" s="14">
        <f>21372.3+1055.3</f>
        <v>22427.6</v>
      </c>
      <c r="F9" s="3"/>
      <c r="H9" s="12"/>
      <c r="I9" s="13" t="s">
        <v>29</v>
      </c>
      <c r="J9" s="13" t="s">
        <v>0</v>
      </c>
      <c r="K9" s="14">
        <f>43099.1-E9</f>
        <v>20671.5</v>
      </c>
    </row>
    <row r="10" spans="1:11" ht="14.25">
      <c r="A10" s="11"/>
      <c r="B10" s="12"/>
      <c r="C10" s="13" t="s">
        <v>30</v>
      </c>
      <c r="D10" s="13" t="s">
        <v>1</v>
      </c>
      <c r="E10" s="15">
        <v>200</v>
      </c>
      <c r="F10" s="3"/>
      <c r="H10" s="12"/>
      <c r="I10" s="13" t="s">
        <v>30</v>
      </c>
      <c r="J10" s="13" t="s">
        <v>1</v>
      </c>
      <c r="K10" s="15">
        <f>236+15+10</f>
        <v>261</v>
      </c>
    </row>
    <row r="11" spans="1:11" ht="14.25">
      <c r="A11" s="11"/>
      <c r="B11" s="12"/>
      <c r="C11" s="13" t="s">
        <v>31</v>
      </c>
      <c r="D11" s="13" t="s">
        <v>1</v>
      </c>
      <c r="E11" s="15">
        <v>144</v>
      </c>
      <c r="F11" s="3"/>
      <c r="H11" s="12"/>
      <c r="I11" s="13" t="s">
        <v>31</v>
      </c>
      <c r="J11" s="13" t="s">
        <v>1</v>
      </c>
      <c r="K11" s="15">
        <f>162+9+6</f>
        <v>177</v>
      </c>
    </row>
    <row r="12" spans="1:11" ht="14.25">
      <c r="A12" s="11"/>
      <c r="B12" s="12"/>
      <c r="C12" s="13" t="s">
        <v>32</v>
      </c>
      <c r="D12" s="13" t="s">
        <v>1</v>
      </c>
      <c r="E12" s="15">
        <v>54</v>
      </c>
      <c r="F12" s="3"/>
      <c r="H12" s="12"/>
      <c r="I12" s="13" t="s">
        <v>32</v>
      </c>
      <c r="J12" s="13" t="s">
        <v>1</v>
      </c>
      <c r="K12" s="15">
        <f>54+1</f>
        <v>55</v>
      </c>
    </row>
    <row r="13" spans="1:11" ht="14.25">
      <c r="A13" s="11"/>
      <c r="B13" s="12"/>
      <c r="C13" s="13" t="s">
        <v>33</v>
      </c>
      <c r="D13" s="13" t="s">
        <v>1</v>
      </c>
      <c r="E13" s="15">
        <v>18</v>
      </c>
      <c r="F13" s="3"/>
      <c r="H13" s="12"/>
      <c r="I13" s="13" t="s">
        <v>33</v>
      </c>
      <c r="J13" s="13" t="s">
        <v>1</v>
      </c>
      <c r="K13" s="15">
        <v>1</v>
      </c>
    </row>
    <row r="14" spans="1:11" ht="14.25">
      <c r="A14" s="11"/>
      <c r="B14" s="12">
        <v>2</v>
      </c>
      <c r="C14" s="13" t="s">
        <v>34</v>
      </c>
      <c r="D14" s="13" t="s">
        <v>35</v>
      </c>
      <c r="E14" s="15">
        <v>6600</v>
      </c>
      <c r="F14" s="3"/>
      <c r="H14" s="12">
        <v>2</v>
      </c>
      <c r="I14" s="13" t="s">
        <v>34</v>
      </c>
      <c r="J14" s="13" t="s">
        <v>35</v>
      </c>
      <c r="K14" s="15">
        <f>K17*0.25</f>
        <v>1650</v>
      </c>
    </row>
    <row r="15" spans="1:11" ht="14.25">
      <c r="A15" s="11"/>
      <c r="B15" s="12"/>
      <c r="C15" s="13" t="s">
        <v>36</v>
      </c>
      <c r="D15" s="13" t="s">
        <v>35</v>
      </c>
      <c r="E15" s="15">
        <v>9900</v>
      </c>
      <c r="F15" s="3"/>
      <c r="H15" s="12"/>
      <c r="I15" s="13" t="s">
        <v>36</v>
      </c>
      <c r="J15" s="13" t="s">
        <v>35</v>
      </c>
      <c r="K15" s="15">
        <f>K17*0.45</f>
        <v>2970</v>
      </c>
    </row>
    <row r="16" spans="1:11" ht="14.25">
      <c r="A16" s="11"/>
      <c r="B16" s="12"/>
      <c r="C16" s="13" t="s">
        <v>37</v>
      </c>
      <c r="D16" s="13" t="s">
        <v>35</v>
      </c>
      <c r="E16" s="15">
        <v>13200</v>
      </c>
      <c r="F16" s="3"/>
      <c r="H16" s="12"/>
      <c r="I16" s="13" t="s">
        <v>37</v>
      </c>
      <c r="J16" s="13" t="s">
        <v>35</v>
      </c>
      <c r="K16" s="15">
        <f>K17*0.7</f>
        <v>4620</v>
      </c>
    </row>
    <row r="17" spans="1:11" ht="14.25">
      <c r="A17" s="11"/>
      <c r="B17" s="12"/>
      <c r="C17" s="13" t="s">
        <v>38</v>
      </c>
      <c r="D17" s="13" t="s">
        <v>35</v>
      </c>
      <c r="E17" s="15">
        <v>16500</v>
      </c>
      <c r="F17" s="3"/>
      <c r="H17" s="12"/>
      <c r="I17" s="13" t="s">
        <v>38</v>
      </c>
      <c r="J17" s="13" t="s">
        <v>35</v>
      </c>
      <c r="K17" s="15">
        <v>6600</v>
      </c>
    </row>
    <row r="18" spans="1:11" ht="14.25">
      <c r="A18" s="11"/>
      <c r="B18" s="12">
        <v>3</v>
      </c>
      <c r="C18" s="13" t="s">
        <v>39</v>
      </c>
      <c r="D18" s="13" t="s">
        <v>35</v>
      </c>
      <c r="E18" s="15">
        <f>E10*E14</f>
        <v>1320000</v>
      </c>
      <c r="F18" s="3"/>
      <c r="H18" s="12">
        <v>3</v>
      </c>
      <c r="I18" s="13" t="s">
        <v>39</v>
      </c>
      <c r="J18" s="13" t="s">
        <v>35</v>
      </c>
      <c r="K18" s="15">
        <f>K10*K14</f>
        <v>430650</v>
      </c>
    </row>
    <row r="19" spans="1:11" ht="14.25">
      <c r="A19" s="11"/>
      <c r="B19" s="12"/>
      <c r="C19" s="13" t="s">
        <v>40</v>
      </c>
      <c r="D19" s="13" t="s">
        <v>35</v>
      </c>
      <c r="E19" s="15">
        <f>E11*E15</f>
        <v>1425600</v>
      </c>
      <c r="F19" s="3"/>
      <c r="H19" s="12"/>
      <c r="I19" s="13" t="s">
        <v>40</v>
      </c>
      <c r="J19" s="13" t="s">
        <v>35</v>
      </c>
      <c r="K19" s="15">
        <f>K11*K15</f>
        <v>525690</v>
      </c>
    </row>
    <row r="20" spans="1:11" ht="14.25">
      <c r="A20" s="1"/>
      <c r="B20" s="16"/>
      <c r="C20" s="13" t="s">
        <v>41</v>
      </c>
      <c r="D20" s="13" t="s">
        <v>35</v>
      </c>
      <c r="E20" s="15">
        <f>E12*E16</f>
        <v>712800</v>
      </c>
      <c r="F20" s="3"/>
      <c r="H20" s="16"/>
      <c r="I20" s="13" t="s">
        <v>41</v>
      </c>
      <c r="J20" s="13" t="s">
        <v>35</v>
      </c>
      <c r="K20" s="15">
        <f>K12*K16</f>
        <v>254100</v>
      </c>
    </row>
    <row r="21" spans="1:11" ht="14.25">
      <c r="A21" s="1"/>
      <c r="B21" s="16"/>
      <c r="C21" s="13" t="s">
        <v>42</v>
      </c>
      <c r="D21" s="13" t="s">
        <v>35</v>
      </c>
      <c r="E21" s="15">
        <f>E13*E17</f>
        <v>297000</v>
      </c>
      <c r="F21" s="3"/>
      <c r="H21" s="16"/>
      <c r="I21" s="13" t="s">
        <v>42</v>
      </c>
      <c r="J21" s="13" t="s">
        <v>35</v>
      </c>
      <c r="K21" s="15">
        <f>K13*K17</f>
        <v>6600</v>
      </c>
    </row>
    <row r="22" spans="1:11" ht="14.25">
      <c r="A22" s="1"/>
      <c r="B22" s="16"/>
      <c r="C22" s="13" t="s">
        <v>13</v>
      </c>
      <c r="D22" s="13" t="s">
        <v>35</v>
      </c>
      <c r="E22" s="15">
        <f>E18+E19+E20+E21</f>
        <v>3755400</v>
      </c>
      <c r="F22" s="3"/>
      <c r="H22" s="16"/>
      <c r="I22" s="13" t="s">
        <v>13</v>
      </c>
      <c r="J22" s="13" t="s">
        <v>35</v>
      </c>
      <c r="K22" s="15">
        <f>K18+K19+K20+K21</f>
        <v>1217040</v>
      </c>
    </row>
    <row r="23" spans="1:11" ht="15" thickBot="1">
      <c r="A23" s="17"/>
      <c r="B23" s="18"/>
      <c r="C23" s="19"/>
      <c r="D23" s="20"/>
      <c r="E23" s="21"/>
      <c r="F23" s="3"/>
      <c r="H23" s="18"/>
      <c r="I23" s="19"/>
      <c r="J23" s="20"/>
      <c r="K23" s="21"/>
    </row>
    <row r="24" spans="1:11" ht="15" customHeight="1">
      <c r="A24" s="17"/>
      <c r="B24" s="232">
        <v>3</v>
      </c>
      <c r="C24" s="234" t="s">
        <v>43</v>
      </c>
      <c r="D24" s="22"/>
      <c r="E24" s="23"/>
      <c r="F24" s="3"/>
      <c r="H24" s="232">
        <v>3</v>
      </c>
      <c r="I24" s="234" t="s">
        <v>43</v>
      </c>
      <c r="J24" s="22"/>
      <c r="K24" s="23"/>
    </row>
    <row r="25" spans="1:11" ht="14.25">
      <c r="A25" s="17"/>
      <c r="B25" s="232"/>
      <c r="C25" s="234"/>
      <c r="D25" s="22"/>
      <c r="E25" s="23">
        <f>E22</f>
        <v>3755400</v>
      </c>
      <c r="F25" s="3"/>
      <c r="H25" s="232"/>
      <c r="I25" s="234"/>
      <c r="J25" s="22"/>
      <c r="K25" s="23">
        <f>K22</f>
        <v>1217040</v>
      </c>
    </row>
    <row r="26" spans="1:11" ht="15" thickBot="1">
      <c r="A26" s="17"/>
      <c r="B26" s="233"/>
      <c r="C26" s="235"/>
      <c r="D26" s="24"/>
      <c r="E26" s="25"/>
      <c r="F26" s="3"/>
      <c r="H26" s="233"/>
      <c r="I26" s="235"/>
      <c r="J26" s="24"/>
      <c r="K26" s="25"/>
    </row>
    <row r="27" spans="1:11" ht="14.25">
      <c r="A27" s="1"/>
      <c r="B27" s="1"/>
      <c r="C27" s="1"/>
      <c r="D27" s="3"/>
      <c r="E27" s="3" t="e">
        <f>#REF!*'[1]СМЕТА_СО_26.80'!C6</f>
        <v>#REF!</v>
      </c>
      <c r="F27" s="3"/>
      <c r="H27" s="1"/>
      <c r="I27" s="1"/>
      <c r="J27" s="3"/>
      <c r="K27" s="3" t="e">
        <f>#REF!*'[1]СМЕТА_СО_26.80'!I6</f>
        <v>#REF!</v>
      </c>
    </row>
    <row r="28" spans="1:11" ht="14.25">
      <c r="A28" s="3"/>
      <c r="B28" s="3"/>
      <c r="C28" s="26" t="s">
        <v>44</v>
      </c>
      <c r="D28" s="3"/>
      <c r="E28" s="3" t="e">
        <f>#REF!+#REF!</f>
        <v>#REF!</v>
      </c>
      <c r="F28" s="3"/>
      <c r="H28" s="3"/>
      <c r="I28" s="26" t="s">
        <v>44</v>
      </c>
      <c r="J28" s="3"/>
      <c r="K28" s="3" t="e">
        <f>#REF!+#REF!</f>
        <v>#REF!</v>
      </c>
    </row>
    <row r="29" spans="1:11" ht="14.25">
      <c r="A29" s="3"/>
      <c r="B29" s="3"/>
      <c r="C29" s="26" t="s">
        <v>45</v>
      </c>
      <c r="D29" s="3"/>
      <c r="E29" s="3" t="e">
        <f>#REF!+#REF!</f>
        <v>#REF!</v>
      </c>
      <c r="F29" s="3"/>
      <c r="H29" s="3"/>
      <c r="I29" s="26" t="s">
        <v>45</v>
      </c>
      <c r="J29" s="3"/>
      <c r="K29" s="3" t="e">
        <f>#REF!+#REF!</f>
        <v>#REF!</v>
      </c>
    </row>
    <row r="30" spans="1:11" ht="14.25">
      <c r="A30" s="3"/>
      <c r="B30" s="3"/>
      <c r="C30" s="26" t="s">
        <v>46</v>
      </c>
      <c r="D30" s="3"/>
      <c r="E30" s="3" t="e">
        <f>#REF!+#REF!</f>
        <v>#REF!</v>
      </c>
      <c r="F30" s="3"/>
      <c r="H30" s="3"/>
      <c r="I30" s="26" t="s">
        <v>46</v>
      </c>
      <c r="J30" s="3"/>
      <c r="K30" s="3" t="e">
        <f>#REF!+#REF!</f>
        <v>#REF!</v>
      </c>
    </row>
    <row r="31" spans="1:11" ht="14.25">
      <c r="A31" s="3"/>
      <c r="B31" s="3"/>
      <c r="C31" s="26" t="s">
        <v>47</v>
      </c>
      <c r="D31" s="3"/>
      <c r="E31" s="3" t="e">
        <f>#REF!+#REF!</f>
        <v>#REF!</v>
      </c>
      <c r="F31" s="3"/>
      <c r="H31" s="3"/>
      <c r="I31" s="26" t="s">
        <v>47</v>
      </c>
      <c r="J31" s="3"/>
      <c r="K31" s="3" t="e">
        <f>#REF!+#REF!</f>
        <v>#REF!</v>
      </c>
    </row>
    <row r="32" spans="1:11" ht="14.25">
      <c r="A32" s="3"/>
      <c r="B32" s="3"/>
      <c r="C32" s="3"/>
      <c r="D32" s="3"/>
      <c r="E32" s="27"/>
      <c r="F32" s="3"/>
      <c r="H32" s="3"/>
      <c r="I32" s="3"/>
      <c r="J32" s="3"/>
      <c r="K32" s="27"/>
    </row>
    <row r="33" spans="1:11" ht="14.25">
      <c r="A33" s="3"/>
      <c r="B33" s="3"/>
      <c r="C33" s="3"/>
      <c r="D33" s="3"/>
      <c r="E33" s="28" t="e">
        <f>E28+E29+E30+E31</f>
        <v>#REF!</v>
      </c>
      <c r="F33" s="3"/>
      <c r="H33" s="3"/>
      <c r="I33" s="3"/>
      <c r="J33" s="3"/>
      <c r="K33" s="28" t="e">
        <f>K28+K29+K30+K31</f>
        <v>#REF!</v>
      </c>
    </row>
    <row r="34" spans="1:11" ht="14.25">
      <c r="A34" s="3"/>
      <c r="B34" s="29"/>
      <c r="C34" s="3"/>
      <c r="D34" s="3"/>
      <c r="E34" s="3"/>
      <c r="F34" s="3"/>
      <c r="H34" s="29"/>
      <c r="I34" s="3"/>
      <c r="J34" s="3"/>
      <c r="K34" s="3"/>
    </row>
    <row r="35" spans="1:11" ht="14.25">
      <c r="A35" s="3"/>
      <c r="B35" s="29"/>
      <c r="C35" s="3"/>
      <c r="D35" s="3"/>
      <c r="E35" s="3" t="e">
        <f>E33*0.1</f>
        <v>#REF!</v>
      </c>
      <c r="F35" s="3"/>
      <c r="H35" s="29"/>
      <c r="I35" s="3"/>
      <c r="J35" s="3"/>
      <c r="K35" s="3" t="e">
        <f>K33*0.1</f>
        <v>#REF!</v>
      </c>
    </row>
    <row r="36" spans="1:11" ht="14.25">
      <c r="A36" s="3"/>
      <c r="B36" s="29"/>
      <c r="C36" s="3"/>
      <c r="D36" s="3"/>
      <c r="E36" s="3"/>
      <c r="F36" s="3"/>
      <c r="H36" s="29"/>
      <c r="I36" s="3"/>
      <c r="J36" s="3"/>
      <c r="K36" s="3"/>
    </row>
    <row r="37" spans="1:11" ht="14.25">
      <c r="A37" s="3"/>
      <c r="B37" s="29"/>
      <c r="C37" s="3"/>
      <c r="D37" s="3"/>
      <c r="E37" s="3" t="e">
        <f>E33+E35</f>
        <v>#REF!</v>
      </c>
      <c r="F37" s="3"/>
      <c r="H37" s="29"/>
      <c r="I37" s="3"/>
      <c r="J37" s="3"/>
      <c r="K37" s="3" t="e">
        <f>K33+K35</f>
        <v>#REF!</v>
      </c>
    </row>
    <row r="38" spans="1:11" ht="14.25">
      <c r="A38" s="3"/>
      <c r="B38" s="29"/>
      <c r="C38" s="3"/>
      <c r="D38" s="3"/>
      <c r="E38" s="3"/>
      <c r="F38" s="3"/>
      <c r="H38" s="29"/>
      <c r="I38" s="3"/>
      <c r="J38" s="3"/>
      <c r="K38" s="3"/>
    </row>
    <row r="39" spans="1:11" ht="14.25">
      <c r="A39" s="3"/>
      <c r="B39" s="29"/>
      <c r="C39" s="3"/>
      <c r="D39" s="3"/>
      <c r="E39" s="28" t="e">
        <f>E37*1.2</f>
        <v>#REF!</v>
      </c>
      <c r="F39" s="28"/>
      <c r="H39" s="29"/>
      <c r="I39" s="3"/>
      <c r="J39" s="3"/>
      <c r="K39" s="28" t="e">
        <f>K37*1.2</f>
        <v>#REF!</v>
      </c>
    </row>
    <row r="40" spans="1:11" ht="14.25">
      <c r="A40" s="3"/>
      <c r="B40" s="29"/>
      <c r="C40" s="3"/>
      <c r="D40" s="3"/>
      <c r="E40" s="3"/>
      <c r="F40" s="28"/>
      <c r="H40" s="29"/>
      <c r="I40" s="3"/>
      <c r="J40" s="3"/>
      <c r="K40" s="3"/>
    </row>
    <row r="41" spans="1:11" ht="14.25">
      <c r="A41" s="3"/>
      <c r="B41" s="29"/>
      <c r="C41" s="3"/>
      <c r="D41" s="3">
        <v>2.44</v>
      </c>
      <c r="E41" s="28">
        <f>2.44*E9</f>
        <v>54723.344</v>
      </c>
      <c r="F41" s="28"/>
      <c r="H41" s="29"/>
      <c r="I41" s="3"/>
      <c r="J41" s="3">
        <v>2.44</v>
      </c>
      <c r="K41" s="28">
        <f>2.44*K9</f>
        <v>50438.46</v>
      </c>
    </row>
    <row r="42" spans="1:11" ht="14.25">
      <c r="A42" s="1"/>
      <c r="B42" s="2"/>
      <c r="C42" s="1"/>
      <c r="D42" s="1"/>
      <c r="E42" s="1"/>
      <c r="F42" s="3"/>
      <c r="H42" s="2"/>
      <c r="I42" s="1"/>
      <c r="J42" s="1"/>
      <c r="K42" s="1"/>
    </row>
    <row r="43" spans="1:11" ht="14.25">
      <c r="A43" s="1"/>
      <c r="B43" s="2"/>
      <c r="C43" s="1"/>
      <c r="D43" s="1"/>
      <c r="E43" s="1"/>
      <c r="F43" s="3"/>
      <c r="H43" s="2"/>
      <c r="I43" s="1"/>
      <c r="J43" s="1"/>
      <c r="K43" s="1"/>
    </row>
    <row r="44" spans="1:11" ht="14.25">
      <c r="A44" s="1"/>
      <c r="B44" s="2"/>
      <c r="C44" s="1"/>
      <c r="D44" s="1"/>
      <c r="E44" s="1"/>
      <c r="F44" s="3"/>
      <c r="H44" s="2"/>
      <c r="I44" s="1"/>
      <c r="J44" s="1"/>
      <c r="K44" s="1"/>
    </row>
    <row r="45" spans="1:11" ht="14.25">
      <c r="A45" s="1"/>
      <c r="B45" s="2"/>
      <c r="C45" s="1"/>
      <c r="D45" s="1"/>
      <c r="E45" s="1"/>
      <c r="F45" s="3"/>
      <c r="H45" s="2"/>
      <c r="I45" s="1"/>
      <c r="J45" s="1"/>
      <c r="K45" s="1"/>
    </row>
    <row r="46" spans="1:11" ht="14.25">
      <c r="A46" s="1"/>
      <c r="B46" s="2"/>
      <c r="C46" s="1"/>
      <c r="D46" s="1"/>
      <c r="E46" s="1"/>
      <c r="F46" s="3"/>
      <c r="H46" s="2"/>
      <c r="I46" s="1"/>
      <c r="J46" s="1"/>
      <c r="K46" s="1"/>
    </row>
    <row r="47" spans="1:11" ht="14.25">
      <c r="A47" s="1"/>
      <c r="B47" s="2"/>
      <c r="C47" s="1"/>
      <c r="D47" s="1"/>
      <c r="E47" s="1"/>
      <c r="F47" s="3"/>
      <c r="H47" s="2"/>
      <c r="I47" s="1"/>
      <c r="J47" s="1"/>
      <c r="K47" s="1"/>
    </row>
    <row r="48" spans="1:11" ht="14.25">
      <c r="A48" s="1"/>
      <c r="B48" s="2"/>
      <c r="C48" s="1"/>
      <c r="D48" s="1"/>
      <c r="E48" s="1"/>
      <c r="F48" s="3"/>
      <c r="H48" s="2"/>
      <c r="I48" s="1"/>
      <c r="J48" s="1"/>
      <c r="K48" s="1"/>
    </row>
    <row r="49" spans="1:11" ht="14.25">
      <c r="A49" s="1"/>
      <c r="B49" s="2"/>
      <c r="C49" s="1"/>
      <c r="D49" s="1"/>
      <c r="E49" s="1"/>
      <c r="F49" s="3"/>
      <c r="H49" s="2"/>
      <c r="I49" s="1"/>
      <c r="J49" s="1"/>
      <c r="K49" s="1"/>
    </row>
    <row r="50" spans="1:11" ht="14.25">
      <c r="A50" s="1"/>
      <c r="B50" s="2"/>
      <c r="C50" s="1"/>
      <c r="D50" s="1"/>
      <c r="E50" s="1"/>
      <c r="F50" s="3"/>
      <c r="H50" s="2"/>
      <c r="I50" s="1"/>
      <c r="J50" s="1"/>
      <c r="K50" s="1"/>
    </row>
  </sheetData>
  <sheetProtection/>
  <mergeCells count="10">
    <mergeCell ref="B3:E3"/>
    <mergeCell ref="B4:E4"/>
    <mergeCell ref="B5:E5"/>
    <mergeCell ref="B24:B26"/>
    <mergeCell ref="C24:C26"/>
    <mergeCell ref="H3:K3"/>
    <mergeCell ref="H4:K4"/>
    <mergeCell ref="H5:K5"/>
    <mergeCell ref="H24:H26"/>
    <mergeCell ref="I24:I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46"/>
  <sheetViews>
    <sheetView zoomScale="136" zoomScaleNormal="136" zoomScalePageLayoutView="0" workbookViewId="0" topLeftCell="B13">
      <selection activeCell="C30" sqref="C30"/>
    </sheetView>
  </sheetViews>
  <sheetFormatPr defaultColWidth="9.140625" defaultRowHeight="15"/>
  <cols>
    <col min="1" max="1" width="9.140625" style="31" customWidth="1"/>
    <col min="2" max="2" width="32.28125" style="30" customWidth="1"/>
    <col min="3" max="3" width="12.28125" style="30" customWidth="1"/>
    <col min="4" max="4" width="16.00390625" style="30" customWidth="1"/>
    <col min="5" max="5" width="9.57421875" style="45" bestFit="1" customWidth="1"/>
    <col min="7" max="7" width="33.28125" style="0" customWidth="1"/>
    <col min="9" max="9" width="13.7109375" style="0" customWidth="1"/>
  </cols>
  <sheetData>
    <row r="1" spans="1:9" ht="24">
      <c r="A1" s="2"/>
      <c r="B1" s="1"/>
      <c r="C1" s="1"/>
      <c r="D1" s="1" t="s">
        <v>204</v>
      </c>
      <c r="E1" s="33"/>
      <c r="F1" s="2"/>
      <c r="G1" s="1"/>
      <c r="H1" s="1"/>
      <c r="I1" s="1" t="s">
        <v>204</v>
      </c>
    </row>
    <row r="2" spans="1:9" ht="14.25">
      <c r="A2" s="2"/>
      <c r="B2" s="1"/>
      <c r="C2" s="1"/>
      <c r="D2" s="1"/>
      <c r="E2" s="33"/>
      <c r="F2" s="2"/>
      <c r="G2" s="1"/>
      <c r="H2" s="1"/>
      <c r="I2" s="1"/>
    </row>
    <row r="3" spans="1:9" ht="15" customHeight="1">
      <c r="A3" s="229" t="s">
        <v>22</v>
      </c>
      <c r="B3" s="229"/>
      <c r="C3" s="229"/>
      <c r="D3" s="229"/>
      <c r="E3" s="33"/>
      <c r="F3" s="229" t="s">
        <v>22</v>
      </c>
      <c r="G3" s="229"/>
      <c r="H3" s="229"/>
      <c r="I3" s="229"/>
    </row>
    <row r="4" spans="1:9" ht="15" customHeight="1">
      <c r="A4" s="236" t="s">
        <v>23</v>
      </c>
      <c r="B4" s="236"/>
      <c r="C4" s="236"/>
      <c r="D4" s="236"/>
      <c r="E4" s="33"/>
      <c r="F4" s="236" t="s">
        <v>23</v>
      </c>
      <c r="G4" s="236"/>
      <c r="H4" s="236"/>
      <c r="I4" s="236"/>
    </row>
    <row r="5" spans="1:9" ht="15" customHeight="1">
      <c r="A5" s="237" t="s">
        <v>206</v>
      </c>
      <c r="B5" s="237"/>
      <c r="C5" s="237"/>
      <c r="D5" s="237"/>
      <c r="E5" s="33"/>
      <c r="F5" s="237" t="s">
        <v>209</v>
      </c>
      <c r="G5" s="237"/>
      <c r="H5" s="237"/>
      <c r="I5" s="237"/>
    </row>
    <row r="6" spans="1:9" ht="15" thickBot="1">
      <c r="A6" s="2"/>
      <c r="B6" s="1"/>
      <c r="C6" s="1"/>
      <c r="D6" s="1"/>
      <c r="E6" s="33"/>
      <c r="F6" s="2"/>
      <c r="G6" s="1"/>
      <c r="H6" s="1"/>
      <c r="I6" s="1"/>
    </row>
    <row r="7" spans="1:9" ht="34.5" thickBot="1">
      <c r="A7" s="4" t="s">
        <v>25</v>
      </c>
      <c r="B7" s="5" t="s">
        <v>26</v>
      </c>
      <c r="C7" s="6" t="s">
        <v>16</v>
      </c>
      <c r="D7" s="7" t="s">
        <v>183</v>
      </c>
      <c r="E7" s="33"/>
      <c r="F7" s="224" t="s">
        <v>25</v>
      </c>
      <c r="G7" s="5" t="s">
        <v>26</v>
      </c>
      <c r="H7" s="225" t="s">
        <v>16</v>
      </c>
      <c r="I7" s="7" t="s">
        <v>210</v>
      </c>
    </row>
    <row r="8" spans="1:9" ht="34.5" thickBot="1">
      <c r="A8" s="4">
        <v>1</v>
      </c>
      <c r="B8" s="5" t="s">
        <v>51</v>
      </c>
      <c r="C8" s="6" t="s">
        <v>52</v>
      </c>
      <c r="D8" s="34">
        <f>43099.1</f>
        <v>43099.1</v>
      </c>
      <c r="E8" s="35"/>
      <c r="F8" s="224">
        <v>1</v>
      </c>
      <c r="G8" s="5" t="s">
        <v>51</v>
      </c>
      <c r="H8" s="225" t="s">
        <v>52</v>
      </c>
      <c r="I8" s="34">
        <f>29709.3+6254.7</f>
        <v>35964</v>
      </c>
    </row>
    <row r="9" spans="1:9" ht="22.5">
      <c r="A9" s="36">
        <v>2</v>
      </c>
      <c r="B9" s="37" t="s">
        <v>53</v>
      </c>
      <c r="C9" s="37" t="s">
        <v>35</v>
      </c>
      <c r="D9" s="38">
        <f>D10*D11</f>
        <v>285000</v>
      </c>
      <c r="E9" s="35"/>
      <c r="F9" s="36">
        <v>2</v>
      </c>
      <c r="G9" s="37" t="s">
        <v>53</v>
      </c>
      <c r="H9" s="37" t="s">
        <v>35</v>
      </c>
      <c r="I9" s="38">
        <f>I10*I11</f>
        <v>190000</v>
      </c>
    </row>
    <row r="10" spans="1:9" ht="24">
      <c r="A10" s="15" t="s">
        <v>20</v>
      </c>
      <c r="B10" s="13" t="s">
        <v>54</v>
      </c>
      <c r="C10" s="13" t="s">
        <v>1</v>
      </c>
      <c r="D10" s="15">
        <v>3</v>
      </c>
      <c r="E10" s="35"/>
      <c r="F10" s="15" t="s">
        <v>20</v>
      </c>
      <c r="G10" s="13" t="s">
        <v>54</v>
      </c>
      <c r="H10" s="13" t="s">
        <v>1</v>
      </c>
      <c r="I10" s="15">
        <v>2</v>
      </c>
    </row>
    <row r="11" spans="1:9" ht="14.25">
      <c r="A11" s="15" t="s">
        <v>21</v>
      </c>
      <c r="B11" s="13" t="s">
        <v>55</v>
      </c>
      <c r="C11" s="13" t="s">
        <v>35</v>
      </c>
      <c r="D11" s="15">
        <v>95000</v>
      </c>
      <c r="E11" s="35"/>
      <c r="F11" s="15" t="s">
        <v>21</v>
      </c>
      <c r="G11" s="13" t="s">
        <v>55</v>
      </c>
      <c r="H11" s="13" t="s">
        <v>35</v>
      </c>
      <c r="I11" s="15">
        <v>95000</v>
      </c>
    </row>
    <row r="12" spans="1:9" ht="14.25">
      <c r="A12" s="15"/>
      <c r="B12" s="13"/>
      <c r="C12" s="13"/>
      <c r="D12" s="15"/>
      <c r="E12" s="35"/>
      <c r="F12" s="15"/>
      <c r="G12" s="13"/>
      <c r="H12" s="13"/>
      <c r="I12" s="15"/>
    </row>
    <row r="13" spans="1:9" ht="14.25">
      <c r="A13" s="15"/>
      <c r="B13" s="13"/>
      <c r="C13" s="13"/>
      <c r="D13" s="15"/>
      <c r="E13" s="35"/>
      <c r="F13" s="15"/>
      <c r="G13" s="13"/>
      <c r="H13" s="13"/>
      <c r="I13" s="15"/>
    </row>
    <row r="14" spans="1:9" ht="14.25">
      <c r="A14" s="39"/>
      <c r="B14" s="40"/>
      <c r="C14" s="40"/>
      <c r="D14" s="39"/>
      <c r="E14" s="35"/>
      <c r="F14" s="39"/>
      <c r="G14" s="40"/>
      <c r="H14" s="40"/>
      <c r="I14" s="39"/>
    </row>
    <row r="15" spans="1:9" ht="15" thickBot="1">
      <c r="A15" s="41"/>
      <c r="B15" s="20"/>
      <c r="C15" s="20"/>
      <c r="D15" s="41"/>
      <c r="E15" s="35">
        <v>0.12</v>
      </c>
      <c r="F15" s="41"/>
      <c r="G15" s="20"/>
      <c r="H15" s="20"/>
      <c r="I15" s="41"/>
    </row>
    <row r="16" spans="1:9" ht="14.25" customHeight="1">
      <c r="A16" s="238">
        <v>4</v>
      </c>
      <c r="B16" s="239" t="s">
        <v>57</v>
      </c>
      <c r="C16" s="6" t="s">
        <v>58</v>
      </c>
      <c r="D16" s="34">
        <f>D9+D13+D15</f>
        <v>285000</v>
      </c>
      <c r="E16" s="35"/>
      <c r="F16" s="238">
        <v>4</v>
      </c>
      <c r="G16" s="239" t="s">
        <v>57</v>
      </c>
      <c r="H16" s="225" t="s">
        <v>58</v>
      </c>
      <c r="I16" s="34">
        <f>I9+I13+I15</f>
        <v>190000</v>
      </c>
    </row>
    <row r="17" spans="1:9" ht="14.25">
      <c r="A17" s="232"/>
      <c r="B17" s="234"/>
      <c r="C17" s="22" t="s">
        <v>59</v>
      </c>
      <c r="D17" s="23">
        <f>D16/D10</f>
        <v>95000</v>
      </c>
      <c r="E17" s="35"/>
      <c r="F17" s="232"/>
      <c r="G17" s="234"/>
      <c r="H17" s="222" t="s">
        <v>59</v>
      </c>
      <c r="I17" s="23">
        <f>I16/I10</f>
        <v>95000</v>
      </c>
    </row>
    <row r="18" spans="1:9" ht="15" thickBot="1">
      <c r="A18" s="233"/>
      <c r="B18" s="235"/>
      <c r="C18" s="24"/>
      <c r="D18" s="25"/>
      <c r="E18" s="35"/>
      <c r="F18" s="233"/>
      <c r="G18" s="235"/>
      <c r="H18" s="223"/>
      <c r="I18" s="25"/>
    </row>
    <row r="19" spans="1:9" s="46" customFormat="1" ht="15" thickBot="1">
      <c r="A19" s="41">
        <v>5</v>
      </c>
      <c r="B19" s="20" t="s">
        <v>56</v>
      </c>
      <c r="C19" s="20" t="s">
        <v>35</v>
      </c>
      <c r="D19" s="41">
        <f>D16*12%</f>
        <v>34200</v>
      </c>
      <c r="E19" s="35"/>
      <c r="F19" s="41">
        <v>5</v>
      </c>
      <c r="G19" s="20" t="s">
        <v>56</v>
      </c>
      <c r="H19" s="20" t="s">
        <v>35</v>
      </c>
      <c r="I19" s="41">
        <f>I16*12%</f>
        <v>22800</v>
      </c>
    </row>
    <row r="20" spans="1:9" ht="14.25" customHeight="1">
      <c r="A20" s="238">
        <v>6</v>
      </c>
      <c r="B20" s="239" t="s">
        <v>61</v>
      </c>
      <c r="C20" s="6" t="s">
        <v>58</v>
      </c>
      <c r="D20" s="34">
        <f>(D16+D19)*1.2</f>
        <v>383040</v>
      </c>
      <c r="E20" s="35"/>
      <c r="F20" s="238">
        <v>6</v>
      </c>
      <c r="G20" s="239" t="s">
        <v>61</v>
      </c>
      <c r="H20" s="225" t="s">
        <v>58</v>
      </c>
      <c r="I20" s="34">
        <f>(I16+I19)*1.2</f>
        <v>255360</v>
      </c>
    </row>
    <row r="21" spans="1:9" ht="14.25">
      <c r="A21" s="232"/>
      <c r="B21" s="234"/>
      <c r="C21" s="22" t="s">
        <v>59</v>
      </c>
      <c r="D21" s="23">
        <f>D20/3</f>
        <v>127680</v>
      </c>
      <c r="E21" s="35"/>
      <c r="F21" s="232"/>
      <c r="G21" s="234"/>
      <c r="H21" s="222" t="s">
        <v>59</v>
      </c>
      <c r="I21" s="23">
        <f>I20/3</f>
        <v>85120</v>
      </c>
    </row>
    <row r="22" spans="1:9" ht="15" thickBot="1">
      <c r="A22" s="233"/>
      <c r="B22" s="235"/>
      <c r="C22" s="24" t="s">
        <v>60</v>
      </c>
      <c r="D22" s="25">
        <f>D20/D8</f>
        <v>8.887424563389954</v>
      </c>
      <c r="E22" s="35"/>
      <c r="F22" s="233"/>
      <c r="G22" s="235"/>
      <c r="H22" s="223" t="s">
        <v>60</v>
      </c>
      <c r="I22" s="25">
        <f>I20/I8</f>
        <v>7.100433767100434</v>
      </c>
    </row>
    <row r="23" spans="1:5" ht="14.25">
      <c r="A23" s="17"/>
      <c r="B23" s="42"/>
      <c r="C23" s="42"/>
      <c r="D23" s="42"/>
      <c r="E23" s="42"/>
    </row>
    <row r="24" spans="1:5" ht="14.25">
      <c r="A24" s="44"/>
      <c r="B24" s="42"/>
      <c r="C24" s="42"/>
      <c r="D24" s="42"/>
      <c r="E24" s="43"/>
    </row>
    <row r="25" spans="1:5" ht="14.25">
      <c r="A25" s="44"/>
      <c r="B25" s="42"/>
      <c r="C25" s="42"/>
      <c r="D25" s="42"/>
      <c r="E25" s="43"/>
    </row>
    <row r="26" spans="1:5" ht="14.25">
      <c r="A26" s="44"/>
      <c r="B26" s="42"/>
      <c r="C26" s="42"/>
      <c r="D26" s="42"/>
      <c r="E26" s="43"/>
    </row>
    <row r="27" spans="1:5" ht="14.25">
      <c r="A27" s="44"/>
      <c r="B27" s="42"/>
      <c r="C27" s="42"/>
      <c r="D27" s="42"/>
      <c r="E27" s="43"/>
    </row>
    <row r="28" spans="1:5" ht="14.25">
      <c r="A28" s="44"/>
      <c r="B28" s="42"/>
      <c r="C28" s="42"/>
      <c r="D28" s="42"/>
      <c r="E28" s="43"/>
    </row>
    <row r="29" spans="1:5" ht="14.25">
      <c r="A29" s="2"/>
      <c r="B29" s="43"/>
      <c r="C29" s="43"/>
      <c r="D29" s="43"/>
      <c r="E29" s="43"/>
    </row>
    <row r="30" spans="1:5" ht="14.25">
      <c r="A30" s="2"/>
      <c r="B30" s="43"/>
      <c r="C30" s="43"/>
      <c r="D30" s="43"/>
      <c r="E30" s="43"/>
    </row>
    <row r="31" spans="1:5" ht="14.25">
      <c r="A31" s="2"/>
      <c r="B31" s="1"/>
      <c r="C31" s="3"/>
      <c r="D31" s="3"/>
      <c r="E31" s="33"/>
    </row>
    <row r="32" spans="1:5" ht="14.25">
      <c r="A32" s="2"/>
      <c r="B32" s="1"/>
      <c r="C32" s="1"/>
      <c r="D32" s="1"/>
      <c r="E32" s="33"/>
    </row>
    <row r="33" spans="1:5" ht="14.25">
      <c r="A33" s="2"/>
      <c r="B33" s="1"/>
      <c r="C33" s="1"/>
      <c r="D33" s="1"/>
      <c r="E33" s="33"/>
    </row>
    <row r="34" spans="1:5" ht="14.25">
      <c r="A34" s="2"/>
      <c r="B34" s="1"/>
      <c r="C34" s="1"/>
      <c r="D34" s="1"/>
      <c r="E34" s="33"/>
    </row>
    <row r="35" spans="1:5" ht="14.25">
      <c r="A35" s="2"/>
      <c r="B35" s="1"/>
      <c r="C35" s="1"/>
      <c r="D35" s="1"/>
      <c r="E35" s="33"/>
    </row>
    <row r="36" spans="1:5" ht="14.25">
      <c r="A36" s="2"/>
      <c r="B36" s="1"/>
      <c r="C36" s="1"/>
      <c r="D36" s="1"/>
      <c r="E36" s="33"/>
    </row>
    <row r="37" spans="1:5" ht="14.25">
      <c r="A37" s="2"/>
      <c r="B37" s="1"/>
      <c r="C37" s="1"/>
      <c r="D37" s="1"/>
      <c r="E37" s="33"/>
    </row>
    <row r="38" spans="1:5" ht="14.25">
      <c r="A38" s="2"/>
      <c r="B38" s="1"/>
      <c r="C38" s="1"/>
      <c r="D38" s="1"/>
      <c r="E38" s="33"/>
    </row>
    <row r="39" spans="1:5" ht="14.25">
      <c r="A39" s="2"/>
      <c r="B39" s="1"/>
      <c r="C39" s="1"/>
      <c r="D39" s="1"/>
      <c r="E39" s="33"/>
    </row>
    <row r="40" spans="1:5" ht="14.25">
      <c r="A40" s="2"/>
      <c r="B40" s="1"/>
      <c r="C40" s="1"/>
      <c r="D40" s="1"/>
      <c r="E40" s="33"/>
    </row>
    <row r="41" spans="1:5" ht="14.25">
      <c r="A41" s="2"/>
      <c r="B41" s="1"/>
      <c r="C41" s="1"/>
      <c r="D41" s="1"/>
      <c r="E41" s="33"/>
    </row>
    <row r="42" spans="1:5" ht="14.25">
      <c r="A42" s="2"/>
      <c r="B42" s="1"/>
      <c r="C42" s="1"/>
      <c r="D42" s="1"/>
      <c r="E42" s="33"/>
    </row>
    <row r="43" spans="1:5" ht="14.25">
      <c r="A43" s="2"/>
      <c r="B43" s="1"/>
      <c r="C43" s="1"/>
      <c r="D43" s="1"/>
      <c r="E43" s="33"/>
    </row>
    <row r="44" spans="1:5" ht="14.25">
      <c r="A44" s="2"/>
      <c r="B44" s="1"/>
      <c r="C44" s="1"/>
      <c r="D44" s="1"/>
      <c r="E44" s="33"/>
    </row>
    <row r="45" spans="1:5" ht="14.25">
      <c r="A45" s="2"/>
      <c r="B45" s="1"/>
      <c r="C45" s="1"/>
      <c r="D45" s="1"/>
      <c r="E45" s="33"/>
    </row>
    <row r="46" spans="1:5" ht="14.25">
      <c r="A46" s="2"/>
      <c r="B46" s="1"/>
      <c r="C46" s="1"/>
      <c r="D46" s="1"/>
      <c r="E46" s="33"/>
    </row>
  </sheetData>
  <sheetProtection/>
  <mergeCells count="14">
    <mergeCell ref="A16:A18"/>
    <mergeCell ref="B16:B18"/>
    <mergeCell ref="A20:A22"/>
    <mergeCell ref="B20:B22"/>
    <mergeCell ref="A3:D3"/>
    <mergeCell ref="A4:D4"/>
    <mergeCell ref="A5:D5"/>
    <mergeCell ref="F3:I3"/>
    <mergeCell ref="F4:I4"/>
    <mergeCell ref="F5:I5"/>
    <mergeCell ref="F16:F18"/>
    <mergeCell ref="G16:G18"/>
    <mergeCell ref="F20:F22"/>
    <mergeCell ref="G20:G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G43"/>
  <sheetViews>
    <sheetView zoomScale="142" zoomScaleNormal="142" zoomScalePageLayoutView="0" workbookViewId="0" topLeftCell="A7">
      <selection activeCell="F2" sqref="F2"/>
    </sheetView>
  </sheetViews>
  <sheetFormatPr defaultColWidth="9.140625" defaultRowHeight="15"/>
  <cols>
    <col min="2" max="2" width="6.8515625" style="30" customWidth="1"/>
    <col min="3" max="3" width="9.140625" style="31" customWidth="1"/>
    <col min="4" max="4" width="32.28125" style="30" customWidth="1"/>
    <col min="5" max="5" width="12.28125" style="30" customWidth="1"/>
    <col min="6" max="6" width="16.00390625" style="30" customWidth="1"/>
    <col min="7" max="7" width="9.57421875" style="45" bestFit="1" customWidth="1"/>
  </cols>
  <sheetData>
    <row r="1" spans="2:7" ht="14.25">
      <c r="B1" s="1"/>
      <c r="C1" s="2"/>
      <c r="D1" s="1"/>
      <c r="E1" s="1"/>
      <c r="F1" s="1" t="s">
        <v>205</v>
      </c>
      <c r="G1" s="33"/>
    </row>
    <row r="2" spans="2:7" ht="14.25">
      <c r="B2" s="1"/>
      <c r="C2" s="2"/>
      <c r="D2" s="1"/>
      <c r="E2" s="1"/>
      <c r="F2" s="1"/>
      <c r="G2" s="33"/>
    </row>
    <row r="3" spans="2:7" ht="14.25">
      <c r="B3" s="1"/>
      <c r="C3" s="229" t="s">
        <v>22</v>
      </c>
      <c r="D3" s="229"/>
      <c r="E3" s="229"/>
      <c r="F3" s="229"/>
      <c r="G3" s="33"/>
    </row>
    <row r="4" spans="2:7" ht="14.25">
      <c r="B4" s="1"/>
      <c r="C4" s="236" t="s">
        <v>23</v>
      </c>
      <c r="D4" s="236"/>
      <c r="E4" s="236"/>
      <c r="F4" s="236"/>
      <c r="G4" s="33"/>
    </row>
    <row r="5" spans="2:7" ht="14.25">
      <c r="B5" s="1"/>
      <c r="C5" s="237" t="s">
        <v>62</v>
      </c>
      <c r="D5" s="237"/>
      <c r="E5" s="237"/>
      <c r="F5" s="237"/>
      <c r="G5" s="33"/>
    </row>
    <row r="6" spans="2:7" ht="15" thickBot="1">
      <c r="B6" s="1"/>
      <c r="C6" s="2"/>
      <c r="D6" s="1"/>
      <c r="E6" s="1"/>
      <c r="F6" s="1"/>
      <c r="G6" s="33"/>
    </row>
    <row r="7" spans="2:7" ht="23.25" thickBot="1">
      <c r="B7" s="1"/>
      <c r="C7" s="4" t="s">
        <v>25</v>
      </c>
      <c r="D7" s="5" t="s">
        <v>26</v>
      </c>
      <c r="E7" s="6" t="s">
        <v>16</v>
      </c>
      <c r="F7" s="7" t="s">
        <v>50</v>
      </c>
      <c r="G7" s="33"/>
    </row>
    <row r="8" spans="2:7" ht="34.5" thickBot="1">
      <c r="B8" s="17"/>
      <c r="C8" s="4">
        <v>1</v>
      </c>
      <c r="D8" s="5" t="s">
        <v>51</v>
      </c>
      <c r="E8" s="6" t="s">
        <v>52</v>
      </c>
      <c r="F8" s="34">
        <f>43099.1</f>
        <v>43099.1</v>
      </c>
      <c r="G8" s="35"/>
    </row>
    <row r="9" spans="2:7" ht="22.5">
      <c r="B9" s="17"/>
      <c r="C9" s="36">
        <v>2</v>
      </c>
      <c r="D9" s="37" t="s">
        <v>53</v>
      </c>
      <c r="E9" s="37" t="s">
        <v>35</v>
      </c>
      <c r="F9" s="38">
        <f>F10*F11+F12</f>
        <v>236000</v>
      </c>
      <c r="G9" s="35"/>
    </row>
    <row r="10" spans="2:7" ht="14.25">
      <c r="B10" s="11"/>
      <c r="C10" s="15" t="s">
        <v>20</v>
      </c>
      <c r="D10" s="13" t="s">
        <v>63</v>
      </c>
      <c r="E10" s="13" t="s">
        <v>1</v>
      </c>
      <c r="F10" s="15">
        <v>4</v>
      </c>
      <c r="G10" s="35"/>
    </row>
    <row r="11" spans="2:7" ht="14.25">
      <c r="B11" s="11"/>
      <c r="C11" s="15" t="s">
        <v>21</v>
      </c>
      <c r="D11" s="13" t="s">
        <v>55</v>
      </c>
      <c r="E11" s="13" t="s">
        <v>35</v>
      </c>
      <c r="F11" s="15">
        <v>59000</v>
      </c>
      <c r="G11" s="35"/>
    </row>
    <row r="12" spans="2:7" ht="14.25">
      <c r="B12" s="11"/>
      <c r="C12" s="15"/>
      <c r="D12" s="13"/>
      <c r="E12" s="13"/>
      <c r="F12" s="15"/>
      <c r="G12" s="35"/>
    </row>
    <row r="13" spans="2:7" ht="14.25">
      <c r="B13" s="17"/>
      <c r="C13" s="15"/>
      <c r="D13" s="13"/>
      <c r="E13" s="13"/>
      <c r="F13" s="15"/>
      <c r="G13" s="35"/>
    </row>
    <row r="14" spans="2:7" ht="14.25">
      <c r="B14" s="1"/>
      <c r="C14" s="39"/>
      <c r="D14" s="40"/>
      <c r="E14" s="40"/>
      <c r="F14" s="39"/>
      <c r="G14" s="35"/>
    </row>
    <row r="15" spans="2:7" ht="15" thickBot="1">
      <c r="B15" s="17"/>
      <c r="C15" s="41">
        <v>4</v>
      </c>
      <c r="D15" s="20" t="s">
        <v>56</v>
      </c>
      <c r="E15" s="20" t="s">
        <v>35</v>
      </c>
      <c r="F15" s="41">
        <f>F9*G15</f>
        <v>28320</v>
      </c>
      <c r="G15" s="35">
        <v>0.12</v>
      </c>
    </row>
    <row r="16" spans="2:7" ht="14.25">
      <c r="B16" s="17"/>
      <c r="C16" s="238">
        <v>5</v>
      </c>
      <c r="D16" s="239" t="s">
        <v>61</v>
      </c>
      <c r="E16" s="6" t="s">
        <v>58</v>
      </c>
      <c r="F16" s="34">
        <f>F9+F13+F15</f>
        <v>264320</v>
      </c>
      <c r="G16" s="35"/>
    </row>
    <row r="17" spans="2:7" ht="14.25">
      <c r="B17" s="17"/>
      <c r="C17" s="232"/>
      <c r="D17" s="234"/>
      <c r="E17" s="22" t="s">
        <v>59</v>
      </c>
      <c r="F17" s="23">
        <f>F16/F10</f>
        <v>66080</v>
      </c>
      <c r="G17" s="35"/>
    </row>
    <row r="18" spans="2:7" ht="15" thickBot="1">
      <c r="B18" s="17"/>
      <c r="C18" s="233"/>
      <c r="D18" s="235"/>
      <c r="E18" s="24" t="s">
        <v>60</v>
      </c>
      <c r="F18" s="25">
        <f>F16/F8</f>
        <v>6.132842681169676</v>
      </c>
      <c r="G18" s="35"/>
    </row>
    <row r="19" spans="2:7" ht="14.25">
      <c r="B19" s="17"/>
      <c r="C19" s="17"/>
      <c r="D19" s="42"/>
      <c r="E19" s="42"/>
      <c r="F19" s="42"/>
      <c r="G19" s="42"/>
    </row>
    <row r="20" spans="2:7" ht="14.25">
      <c r="B20" s="1"/>
      <c r="C20" s="2"/>
      <c r="D20" s="43"/>
      <c r="E20" s="43"/>
      <c r="F20" s="43"/>
      <c r="G20" s="43"/>
    </row>
    <row r="21" spans="2:7" ht="14.25">
      <c r="B21" s="33"/>
      <c r="C21" s="44"/>
      <c r="D21" s="42"/>
      <c r="E21" s="42"/>
      <c r="F21" s="42"/>
      <c r="G21" s="43"/>
    </row>
    <row r="22" spans="2:7" ht="14.25">
      <c r="B22" s="33"/>
      <c r="C22" s="44"/>
      <c r="D22" s="42"/>
      <c r="E22" s="42"/>
      <c r="F22" s="42"/>
      <c r="G22" s="43"/>
    </row>
    <row r="23" spans="2:7" ht="14.25">
      <c r="B23" s="33"/>
      <c r="C23" s="44"/>
      <c r="D23" s="42"/>
      <c r="E23" s="42"/>
      <c r="F23" s="42"/>
      <c r="G23" s="43"/>
    </row>
    <row r="24" spans="2:7" ht="14.25">
      <c r="B24" s="33"/>
      <c r="C24" s="44"/>
      <c r="D24" s="42"/>
      <c r="E24" s="42"/>
      <c r="F24" s="42"/>
      <c r="G24" s="43"/>
    </row>
    <row r="25" spans="2:7" ht="14.25">
      <c r="B25" s="33"/>
      <c r="C25" s="44"/>
      <c r="D25" s="42"/>
      <c r="E25" s="42"/>
      <c r="F25" s="42"/>
      <c r="G25" s="43"/>
    </row>
    <row r="26" spans="2:7" ht="14.25">
      <c r="B26" s="1"/>
      <c r="C26" s="2"/>
      <c r="D26" s="43"/>
      <c r="E26" s="43"/>
      <c r="F26" s="43"/>
      <c r="G26" s="43"/>
    </row>
    <row r="27" spans="2:7" ht="14.25">
      <c r="B27" s="1"/>
      <c r="C27" s="2"/>
      <c r="D27" s="43"/>
      <c r="E27" s="43"/>
      <c r="F27" s="43"/>
      <c r="G27" s="43"/>
    </row>
    <row r="28" spans="2:7" ht="14.25">
      <c r="B28" s="1"/>
      <c r="C28" s="2"/>
      <c r="D28" s="1"/>
      <c r="E28" s="3"/>
      <c r="F28" s="3"/>
      <c r="G28" s="33"/>
    </row>
    <row r="29" spans="2:7" ht="14.25">
      <c r="B29" s="1"/>
      <c r="C29" s="2"/>
      <c r="D29" s="1"/>
      <c r="E29" s="1"/>
      <c r="F29" s="1"/>
      <c r="G29" s="33"/>
    </row>
    <row r="30" spans="2:7" ht="14.25">
      <c r="B30" s="1"/>
      <c r="C30" s="2"/>
      <c r="D30" s="1"/>
      <c r="E30" s="1"/>
      <c r="F30" s="1"/>
      <c r="G30" s="33"/>
    </row>
    <row r="31" spans="2:7" ht="14.25">
      <c r="B31" s="1"/>
      <c r="C31" s="2"/>
      <c r="D31" s="1"/>
      <c r="E31" s="1"/>
      <c r="F31" s="1"/>
      <c r="G31" s="33"/>
    </row>
    <row r="32" spans="2:7" ht="14.25">
      <c r="B32" s="1"/>
      <c r="C32" s="2"/>
      <c r="D32" s="1"/>
      <c r="E32" s="1"/>
      <c r="F32" s="1"/>
      <c r="G32" s="33"/>
    </row>
    <row r="33" spans="2:7" ht="14.25">
      <c r="B33" s="1"/>
      <c r="C33" s="2"/>
      <c r="D33" s="1"/>
      <c r="E33" s="1"/>
      <c r="F33" s="1"/>
      <c r="G33" s="33"/>
    </row>
    <row r="34" spans="2:7" ht="14.25">
      <c r="B34" s="1"/>
      <c r="C34" s="2"/>
      <c r="D34" s="1"/>
      <c r="E34" s="1"/>
      <c r="F34" s="1"/>
      <c r="G34" s="33"/>
    </row>
    <row r="35" spans="2:7" ht="14.25">
      <c r="B35" s="1"/>
      <c r="C35" s="2"/>
      <c r="D35" s="1"/>
      <c r="E35" s="1"/>
      <c r="F35" s="1"/>
      <c r="G35" s="33"/>
    </row>
    <row r="36" spans="2:7" ht="14.25">
      <c r="B36" s="1"/>
      <c r="C36" s="2"/>
      <c r="D36" s="1"/>
      <c r="E36" s="1"/>
      <c r="F36" s="1"/>
      <c r="G36" s="33"/>
    </row>
    <row r="37" spans="2:7" ht="14.25">
      <c r="B37" s="1"/>
      <c r="C37" s="2"/>
      <c r="D37" s="1"/>
      <c r="E37" s="1"/>
      <c r="F37" s="1"/>
      <c r="G37" s="33"/>
    </row>
    <row r="38" spans="2:7" ht="14.25">
      <c r="B38" s="1"/>
      <c r="C38" s="2"/>
      <c r="D38" s="1"/>
      <c r="E38" s="1"/>
      <c r="F38" s="1"/>
      <c r="G38" s="33"/>
    </row>
    <row r="39" spans="2:7" ht="14.25">
      <c r="B39" s="1"/>
      <c r="C39" s="2"/>
      <c r="D39" s="1"/>
      <c r="E39" s="1"/>
      <c r="F39" s="1"/>
      <c r="G39" s="33"/>
    </row>
    <row r="40" spans="2:7" ht="14.25">
      <c r="B40" s="1"/>
      <c r="C40" s="2"/>
      <c r="D40" s="1"/>
      <c r="E40" s="1"/>
      <c r="F40" s="1"/>
      <c r="G40" s="33"/>
    </row>
    <row r="41" spans="2:7" ht="14.25">
      <c r="B41" s="1"/>
      <c r="C41" s="2"/>
      <c r="D41" s="1"/>
      <c r="E41" s="1"/>
      <c r="F41" s="1"/>
      <c r="G41" s="33"/>
    </row>
    <row r="42" spans="2:7" ht="14.25">
      <c r="B42" s="1"/>
      <c r="C42" s="2"/>
      <c r="D42" s="1"/>
      <c r="E42" s="1"/>
      <c r="F42" s="1"/>
      <c r="G42" s="33"/>
    </row>
    <row r="43" spans="2:7" ht="14.25">
      <c r="B43" s="1"/>
      <c r="C43" s="2"/>
      <c r="D43" s="1"/>
      <c r="E43" s="1"/>
      <c r="F43" s="1"/>
      <c r="G43" s="33"/>
    </row>
  </sheetData>
  <sheetProtection/>
  <mergeCells count="5">
    <mergeCell ref="C3:F3"/>
    <mergeCell ref="C4:F4"/>
    <mergeCell ref="C5:F5"/>
    <mergeCell ref="C16:C18"/>
    <mergeCell ref="D16:D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G31"/>
  <sheetViews>
    <sheetView zoomScale="130" zoomScaleNormal="130" zoomScalePageLayoutView="0" workbookViewId="0" topLeftCell="A1">
      <selection activeCell="I25" sqref="I25"/>
    </sheetView>
  </sheetViews>
  <sheetFormatPr defaultColWidth="9.140625" defaultRowHeight="15"/>
  <cols>
    <col min="2" max="2" width="9.140625" style="31" customWidth="1"/>
    <col min="3" max="3" width="32.28125" style="30" customWidth="1"/>
    <col min="4" max="4" width="12.28125" style="30" customWidth="1"/>
    <col min="5" max="5" width="16.00390625" style="30" customWidth="1"/>
    <col min="6" max="6" width="9.57421875" style="45" bestFit="1" customWidth="1"/>
    <col min="7" max="7" width="9.57421875" style="30" bestFit="1" customWidth="1"/>
  </cols>
  <sheetData>
    <row r="1" spans="2:7" ht="14.25">
      <c r="B1" s="2"/>
      <c r="C1" s="1"/>
      <c r="D1" s="1"/>
      <c r="E1" s="1"/>
      <c r="F1" s="33"/>
      <c r="G1" s="1"/>
    </row>
    <row r="2" spans="2:7" ht="14.25">
      <c r="B2" s="2"/>
      <c r="C2" s="1"/>
      <c r="D2" s="1"/>
      <c r="E2" s="1"/>
      <c r="F2" s="33"/>
      <c r="G2" s="1"/>
    </row>
    <row r="3" spans="2:7" ht="14.25">
      <c r="B3" s="229" t="s">
        <v>22</v>
      </c>
      <c r="C3" s="229"/>
      <c r="D3" s="229"/>
      <c r="E3" s="229"/>
      <c r="F3" s="33"/>
      <c r="G3" s="1"/>
    </row>
    <row r="4" spans="2:7" ht="14.25">
      <c r="B4" s="236" t="s">
        <v>23</v>
      </c>
      <c r="C4" s="236"/>
      <c r="D4" s="236"/>
      <c r="E4" s="236"/>
      <c r="F4" s="33"/>
      <c r="G4" s="1"/>
    </row>
    <row r="5" spans="2:7" ht="14.25">
      <c r="B5" s="237" t="s">
        <v>64</v>
      </c>
      <c r="C5" s="237"/>
      <c r="D5" s="237"/>
      <c r="E5" s="237"/>
      <c r="F5" s="33"/>
      <c r="G5" s="1"/>
    </row>
    <row r="6" spans="2:7" ht="15" thickBot="1">
      <c r="B6" s="2"/>
      <c r="C6" s="1"/>
      <c r="D6" s="1"/>
      <c r="E6" s="1"/>
      <c r="F6" s="33"/>
      <c r="G6" s="1"/>
    </row>
    <row r="7" spans="2:7" ht="23.25" thickBot="1">
      <c r="B7" s="4" t="s">
        <v>25</v>
      </c>
      <c r="C7" s="5" t="s">
        <v>26</v>
      </c>
      <c r="D7" s="6" t="s">
        <v>16</v>
      </c>
      <c r="E7" s="7"/>
      <c r="F7" s="33"/>
      <c r="G7" s="1"/>
    </row>
    <row r="8" spans="2:7" ht="34.5" thickBot="1">
      <c r="B8" s="4">
        <v>1</v>
      </c>
      <c r="C8" s="5" t="s">
        <v>51</v>
      </c>
      <c r="D8" s="6" t="s">
        <v>52</v>
      </c>
      <c r="E8" s="34">
        <f>43099.1</f>
        <v>43099.1</v>
      </c>
      <c r="F8" s="35"/>
      <c r="G8" s="17"/>
    </row>
    <row r="9" spans="2:7" ht="22.5">
      <c r="B9" s="36">
        <v>2</v>
      </c>
      <c r="C9" s="37" t="s">
        <v>53</v>
      </c>
      <c r="D9" s="37" t="s">
        <v>35</v>
      </c>
      <c r="E9" s="38">
        <v>20000</v>
      </c>
      <c r="F9" s="35"/>
      <c r="G9" s="17"/>
    </row>
    <row r="10" spans="2:7" ht="14.25">
      <c r="B10" s="15"/>
      <c r="C10" s="13"/>
      <c r="D10" s="13"/>
      <c r="E10" s="15"/>
      <c r="F10" s="35"/>
      <c r="G10" s="17"/>
    </row>
    <row r="11" spans="2:7" ht="14.25">
      <c r="B11" s="39"/>
      <c r="C11" s="40"/>
      <c r="D11" s="40"/>
      <c r="E11" s="39"/>
      <c r="F11" s="35"/>
      <c r="G11" s="1"/>
    </row>
    <row r="12" spans="2:7" ht="15" thickBot="1">
      <c r="B12" s="41">
        <v>3</v>
      </c>
      <c r="C12" s="20" t="s">
        <v>56</v>
      </c>
      <c r="D12" s="20" t="s">
        <v>35</v>
      </c>
      <c r="E12" s="41">
        <f>E9*F12</f>
        <v>2400</v>
      </c>
      <c r="F12" s="35">
        <v>0.12</v>
      </c>
      <c r="G12" s="17"/>
    </row>
    <row r="13" spans="2:7" ht="14.25">
      <c r="B13" s="238">
        <v>4</v>
      </c>
      <c r="C13" s="239" t="s">
        <v>57</v>
      </c>
      <c r="D13" s="6" t="s">
        <v>58</v>
      </c>
      <c r="E13" s="34">
        <f>E9+E10+E12</f>
        <v>22400</v>
      </c>
      <c r="F13" s="35"/>
      <c r="G13" s="17"/>
    </row>
    <row r="14" spans="2:7" ht="14.25">
      <c r="B14" s="232"/>
      <c r="C14" s="234"/>
      <c r="D14" s="22"/>
      <c r="E14" s="23"/>
      <c r="F14" s="35"/>
      <c r="G14" s="17"/>
    </row>
    <row r="15" spans="2:7" ht="15" thickBot="1">
      <c r="B15" s="233"/>
      <c r="C15" s="235"/>
      <c r="D15" s="24" t="s">
        <v>60</v>
      </c>
      <c r="E15" s="25">
        <f>E13/E8</f>
        <v>0.5197324306075997</v>
      </c>
      <c r="F15" s="35"/>
      <c r="G15" s="17"/>
    </row>
    <row r="16" spans="2:7" ht="14.25">
      <c r="B16" s="17"/>
      <c r="C16" s="42"/>
      <c r="D16" s="42"/>
      <c r="E16" s="42"/>
      <c r="F16" s="42"/>
      <c r="G16" s="42"/>
    </row>
    <row r="17" spans="2:7" ht="14.25">
      <c r="B17" s="2"/>
      <c r="C17" s="1"/>
      <c r="D17" s="1"/>
      <c r="E17" s="1"/>
      <c r="F17" s="33"/>
      <c r="G17" s="1"/>
    </row>
    <row r="18" spans="2:7" ht="14.25">
      <c r="B18" s="2"/>
      <c r="C18" s="1"/>
      <c r="D18" s="1"/>
      <c r="E18" s="1"/>
      <c r="F18" s="33"/>
      <c r="G18" s="1"/>
    </row>
    <row r="19" spans="2:7" ht="14.25">
      <c r="B19" s="2"/>
      <c r="C19" s="1"/>
      <c r="D19" s="1"/>
      <c r="E19" s="1"/>
      <c r="F19" s="33"/>
      <c r="G19" s="1"/>
    </row>
    <row r="20" spans="2:7" ht="14.25">
      <c r="B20" s="2"/>
      <c r="C20" s="1"/>
      <c r="D20" s="1"/>
      <c r="E20" s="1"/>
      <c r="F20" s="33"/>
      <c r="G20" s="1"/>
    </row>
    <row r="21" spans="2:7" ht="14.25">
      <c r="B21" s="2"/>
      <c r="C21" s="1"/>
      <c r="D21" s="1"/>
      <c r="E21" s="1"/>
      <c r="F21" s="33"/>
      <c r="G21" s="1"/>
    </row>
    <row r="22" spans="2:7" ht="14.25">
      <c r="B22" s="2"/>
      <c r="C22" s="1"/>
      <c r="D22" s="1"/>
      <c r="E22" s="1"/>
      <c r="F22" s="33"/>
      <c r="G22" s="1"/>
    </row>
    <row r="23" spans="2:7" ht="14.25">
      <c r="B23" s="2"/>
      <c r="C23" s="1"/>
      <c r="D23" s="1"/>
      <c r="E23" s="1"/>
      <c r="F23" s="33"/>
      <c r="G23" s="1"/>
    </row>
    <row r="24" spans="2:7" ht="14.25">
      <c r="B24" s="2"/>
      <c r="C24" s="1"/>
      <c r="D24" s="1"/>
      <c r="E24" s="1"/>
      <c r="F24" s="33"/>
      <c r="G24" s="1"/>
    </row>
    <row r="25" spans="2:7" ht="14.25">
      <c r="B25" s="2"/>
      <c r="C25" s="1"/>
      <c r="D25" s="1"/>
      <c r="E25" s="1"/>
      <c r="F25" s="33"/>
      <c r="G25" s="1"/>
    </row>
    <row r="26" spans="2:7" ht="14.25">
      <c r="B26" s="2"/>
      <c r="C26" s="1"/>
      <c r="D26" s="1"/>
      <c r="E26" s="1"/>
      <c r="F26" s="33"/>
      <c r="G26" s="1"/>
    </row>
    <row r="27" spans="2:7" ht="14.25">
      <c r="B27" s="2"/>
      <c r="C27" s="1"/>
      <c r="D27" s="1"/>
      <c r="E27" s="1"/>
      <c r="F27" s="33"/>
      <c r="G27" s="1"/>
    </row>
    <row r="28" spans="2:7" ht="14.25">
      <c r="B28" s="2"/>
      <c r="C28" s="1"/>
      <c r="D28" s="1"/>
      <c r="E28" s="1"/>
      <c r="F28" s="33"/>
      <c r="G28" s="1"/>
    </row>
    <row r="29" spans="2:7" ht="14.25">
      <c r="B29" s="2"/>
      <c r="C29" s="1"/>
      <c r="D29" s="1"/>
      <c r="E29" s="1"/>
      <c r="F29" s="33"/>
      <c r="G29" s="1"/>
    </row>
    <row r="30" spans="2:7" ht="14.25">
      <c r="B30" s="2"/>
      <c r="C30" s="1"/>
      <c r="D30" s="1"/>
      <c r="E30" s="1"/>
      <c r="F30" s="33"/>
      <c r="G30" s="1"/>
    </row>
    <row r="31" spans="2:7" ht="14.25">
      <c r="B31" s="2"/>
      <c r="C31" s="1"/>
      <c r="D31" s="1"/>
      <c r="E31" s="1"/>
      <c r="F31" s="33"/>
      <c r="G31" s="1"/>
    </row>
  </sheetData>
  <sheetProtection/>
  <mergeCells count="5">
    <mergeCell ref="B3:E3"/>
    <mergeCell ref="B4:E4"/>
    <mergeCell ref="B5:E5"/>
    <mergeCell ref="B13:B15"/>
    <mergeCell ref="C13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F31"/>
  <sheetViews>
    <sheetView zoomScale="142" zoomScaleNormal="142" zoomScalePageLayoutView="0" workbookViewId="0" topLeftCell="A1">
      <selection activeCell="E2" sqref="E2"/>
    </sheetView>
  </sheetViews>
  <sheetFormatPr defaultColWidth="9.140625" defaultRowHeight="15"/>
  <cols>
    <col min="2" max="2" width="9.140625" style="31" customWidth="1"/>
    <col min="3" max="3" width="32.28125" style="30" customWidth="1"/>
    <col min="4" max="4" width="12.28125" style="30" customWidth="1"/>
    <col min="5" max="5" width="14.8515625" style="30" customWidth="1"/>
    <col min="6" max="6" width="9.57421875" style="45" bestFit="1" customWidth="1"/>
  </cols>
  <sheetData>
    <row r="1" spans="2:6" ht="14.25">
      <c r="B1" s="2"/>
      <c r="C1" s="1"/>
      <c r="D1" s="1"/>
      <c r="E1" s="1" t="s">
        <v>203</v>
      </c>
      <c r="F1" s="33"/>
    </row>
    <row r="2" spans="2:6" ht="14.25">
      <c r="B2" s="2"/>
      <c r="C2" s="1"/>
      <c r="D2" s="1"/>
      <c r="E2" s="1"/>
      <c r="F2" s="33"/>
    </row>
    <row r="3" spans="2:6" ht="14.25">
      <c r="B3" s="229" t="s">
        <v>22</v>
      </c>
      <c r="C3" s="229"/>
      <c r="D3" s="229"/>
      <c r="E3" s="229"/>
      <c r="F3" s="33"/>
    </row>
    <row r="4" spans="2:6" ht="14.25">
      <c r="B4" s="236" t="s">
        <v>23</v>
      </c>
      <c r="C4" s="236"/>
      <c r="D4" s="236"/>
      <c r="E4" s="236"/>
      <c r="F4" s="33"/>
    </row>
    <row r="5" spans="2:6" ht="14.25">
      <c r="B5" s="237" t="s">
        <v>65</v>
      </c>
      <c r="C5" s="237"/>
      <c r="D5" s="237"/>
      <c r="E5" s="237"/>
      <c r="F5" s="33"/>
    </row>
    <row r="6" spans="2:6" ht="15" thickBot="1">
      <c r="B6" s="2"/>
      <c r="C6" s="1"/>
      <c r="D6" s="1"/>
      <c r="E6" s="1"/>
      <c r="F6" s="33"/>
    </row>
    <row r="7" spans="2:6" ht="23.25" thickBot="1">
      <c r="B7" s="4" t="s">
        <v>25</v>
      </c>
      <c r="C7" s="5" t="s">
        <v>26</v>
      </c>
      <c r="D7" s="6" t="s">
        <v>16</v>
      </c>
      <c r="E7" s="7"/>
      <c r="F7" s="33"/>
    </row>
    <row r="8" spans="2:6" ht="34.5" thickBot="1">
      <c r="B8" s="4">
        <v>1</v>
      </c>
      <c r="C8" s="5" t="s">
        <v>51</v>
      </c>
      <c r="D8" s="6" t="s">
        <v>52</v>
      </c>
      <c r="E8" s="34">
        <f>43099.1</f>
        <v>43099.1</v>
      </c>
      <c r="F8" s="35"/>
    </row>
    <row r="9" spans="2:6" ht="22.5">
      <c r="B9" s="36">
        <v>2</v>
      </c>
      <c r="C9" s="37" t="s">
        <v>53</v>
      </c>
      <c r="D9" s="37" t="s">
        <v>35</v>
      </c>
      <c r="E9" s="38">
        <v>50544</v>
      </c>
      <c r="F9" s="35"/>
    </row>
    <row r="10" spans="2:6" ht="14.25">
      <c r="B10" s="15"/>
      <c r="C10" s="13"/>
      <c r="D10" s="13"/>
      <c r="E10" s="15"/>
      <c r="F10" s="35"/>
    </row>
    <row r="11" spans="2:6" ht="14.25">
      <c r="B11" s="39"/>
      <c r="C11" s="40"/>
      <c r="D11" s="40"/>
      <c r="E11" s="39"/>
      <c r="F11" s="35"/>
    </row>
    <row r="12" spans="2:6" ht="15" thickBot="1">
      <c r="B12" s="41">
        <v>3</v>
      </c>
      <c r="C12" s="20" t="s">
        <v>56</v>
      </c>
      <c r="D12" s="20" t="s">
        <v>35</v>
      </c>
      <c r="E12" s="41">
        <f>E9*F12</f>
        <v>6065.28</v>
      </c>
      <c r="F12" s="35">
        <v>0.12</v>
      </c>
    </row>
    <row r="13" spans="2:6" ht="14.25">
      <c r="B13" s="238">
        <v>4</v>
      </c>
      <c r="C13" s="239" t="s">
        <v>57</v>
      </c>
      <c r="D13" s="6" t="s">
        <v>58</v>
      </c>
      <c r="E13" s="34">
        <f>E9+E10+E12</f>
        <v>56609.28</v>
      </c>
      <c r="F13" s="35"/>
    </row>
    <row r="14" spans="2:6" ht="14.25">
      <c r="B14" s="232"/>
      <c r="C14" s="234"/>
      <c r="D14" s="22"/>
      <c r="E14" s="23"/>
      <c r="F14" s="35"/>
    </row>
    <row r="15" spans="2:6" ht="15" thickBot="1">
      <c r="B15" s="233"/>
      <c r="C15" s="235"/>
      <c r="D15" s="24" t="s">
        <v>60</v>
      </c>
      <c r="E15" s="25">
        <f>E13/E8</f>
        <v>1.313467798631526</v>
      </c>
      <c r="F15" s="35"/>
    </row>
    <row r="16" spans="2:6" ht="14.25">
      <c r="B16" s="17"/>
      <c r="C16" s="42"/>
      <c r="D16" s="42"/>
      <c r="E16" s="42"/>
      <c r="F16" s="42"/>
    </row>
    <row r="17" spans="2:6" ht="14.25">
      <c r="B17" s="2"/>
      <c r="C17" s="1"/>
      <c r="D17" s="1"/>
      <c r="E17" s="1"/>
      <c r="F17" s="33"/>
    </row>
    <row r="18" spans="2:6" ht="14.25">
      <c r="B18" s="2"/>
      <c r="C18" s="1"/>
      <c r="D18" s="1"/>
      <c r="E18" s="1"/>
      <c r="F18" s="33"/>
    </row>
    <row r="19" spans="2:6" ht="14.25">
      <c r="B19" s="2"/>
      <c r="C19" s="1"/>
      <c r="D19" s="1"/>
      <c r="E19" s="1"/>
      <c r="F19" s="33"/>
    </row>
    <row r="20" spans="2:6" ht="14.25">
      <c r="B20" s="2"/>
      <c r="C20" s="1"/>
      <c r="D20" s="1"/>
      <c r="E20" s="1"/>
      <c r="F20" s="33"/>
    </row>
    <row r="21" spans="2:6" ht="14.25">
      <c r="B21" s="2"/>
      <c r="C21" s="1"/>
      <c r="D21" s="1"/>
      <c r="E21" s="1"/>
      <c r="F21" s="33"/>
    </row>
    <row r="22" spans="2:6" ht="14.25">
      <c r="B22" s="2"/>
      <c r="C22" s="1"/>
      <c r="D22" s="1"/>
      <c r="E22" s="1"/>
      <c r="F22" s="33"/>
    </row>
    <row r="23" spans="2:6" ht="14.25">
      <c r="B23" s="2"/>
      <c r="C23" s="1"/>
      <c r="D23" s="1"/>
      <c r="E23" s="1"/>
      <c r="F23" s="33"/>
    </row>
    <row r="24" spans="2:6" ht="14.25">
      <c r="B24" s="2"/>
      <c r="C24" s="1"/>
      <c r="D24" s="1"/>
      <c r="E24" s="1"/>
      <c r="F24" s="33"/>
    </row>
    <row r="25" spans="2:6" ht="14.25">
      <c r="B25" s="2"/>
      <c r="C25" s="1"/>
      <c r="D25" s="1"/>
      <c r="E25" s="1"/>
      <c r="F25" s="33"/>
    </row>
    <row r="26" spans="2:6" ht="14.25">
      <c r="B26" s="2"/>
      <c r="C26" s="1"/>
      <c r="D26" s="1"/>
      <c r="E26" s="1"/>
      <c r="F26" s="33"/>
    </row>
    <row r="27" spans="2:6" ht="14.25">
      <c r="B27" s="2"/>
      <c r="C27" s="1"/>
      <c r="D27" s="1"/>
      <c r="E27" s="1"/>
      <c r="F27" s="33"/>
    </row>
    <row r="28" spans="2:6" ht="14.25">
      <c r="B28" s="2"/>
      <c r="C28" s="1"/>
      <c r="D28" s="1"/>
      <c r="E28" s="1"/>
      <c r="F28" s="33"/>
    </row>
    <row r="29" spans="2:6" ht="14.25">
      <c r="B29" s="2"/>
      <c r="C29" s="1"/>
      <c r="D29" s="1"/>
      <c r="E29" s="1"/>
      <c r="F29" s="33"/>
    </row>
    <row r="30" spans="2:6" ht="14.25">
      <c r="B30" s="2"/>
      <c r="C30" s="1"/>
      <c r="D30" s="1"/>
      <c r="E30" s="1"/>
      <c r="F30" s="33"/>
    </row>
    <row r="31" spans="2:6" ht="14.25">
      <c r="B31" s="2"/>
      <c r="C31" s="1"/>
      <c r="D31" s="1"/>
      <c r="E31" s="1"/>
      <c r="F31" s="33"/>
    </row>
  </sheetData>
  <sheetProtection/>
  <mergeCells count="5">
    <mergeCell ref="B3:E3"/>
    <mergeCell ref="B4:E4"/>
    <mergeCell ref="B5:E5"/>
    <mergeCell ref="B13:B15"/>
    <mergeCell ref="C13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85"/>
  <sheetViews>
    <sheetView tabSelected="1" view="pageBreakPreview" zoomScale="85" zoomScaleSheetLayoutView="85" zoomScalePageLayoutView="0" workbookViewId="0" topLeftCell="A19">
      <selection activeCell="K8" sqref="K8"/>
    </sheetView>
  </sheetViews>
  <sheetFormatPr defaultColWidth="9.140625" defaultRowHeight="15"/>
  <cols>
    <col min="1" max="1" width="8.7109375" style="47" customWidth="1"/>
    <col min="2" max="2" width="49.57421875" style="49" customWidth="1"/>
    <col min="3" max="3" width="40.57421875" style="49" customWidth="1"/>
    <col min="4" max="4" width="17.8515625" style="214" customWidth="1"/>
    <col min="5" max="9" width="15.57421875" style="47" customWidth="1"/>
    <col min="10" max="10" width="14.421875" style="47" customWidth="1"/>
    <col min="11" max="11" width="13.28125" style="49" bestFit="1" customWidth="1"/>
    <col min="12" max="16384" width="8.8515625" style="49" customWidth="1"/>
  </cols>
  <sheetData>
    <row r="1" spans="9:10" ht="15">
      <c r="I1" s="240" t="s">
        <v>202</v>
      </c>
      <c r="J1" s="240"/>
    </row>
    <row r="2" spans="1:10" ht="1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0" customHeight="1">
      <c r="A3" s="265" t="s">
        <v>195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5.75" thickBot="1">
      <c r="A4" s="50"/>
      <c r="B4" s="51"/>
      <c r="C4" s="51"/>
      <c r="D4" s="200"/>
      <c r="E4" s="50"/>
      <c r="F4" s="50"/>
      <c r="G4" s="50"/>
      <c r="H4" s="50"/>
      <c r="I4" s="50"/>
      <c r="J4" s="50"/>
    </row>
    <row r="5" spans="1:10" ht="109.5" thickBot="1">
      <c r="A5" s="52" t="s">
        <v>67</v>
      </c>
      <c r="B5" s="53" t="s">
        <v>68</v>
      </c>
      <c r="C5" s="54" t="s">
        <v>69</v>
      </c>
      <c r="D5" s="90" t="s">
        <v>196</v>
      </c>
      <c r="E5" s="56" t="s">
        <v>197</v>
      </c>
      <c r="F5" s="56" t="s">
        <v>70</v>
      </c>
      <c r="G5" s="56" t="s">
        <v>201</v>
      </c>
      <c r="H5" s="56" t="s">
        <v>70</v>
      </c>
      <c r="I5" s="56" t="s">
        <v>198</v>
      </c>
      <c r="J5" s="52" t="s">
        <v>70</v>
      </c>
    </row>
    <row r="6" spans="1:10" ht="33" thickBot="1">
      <c r="A6" s="57" t="s">
        <v>71</v>
      </c>
      <c r="B6" s="58" t="s">
        <v>72</v>
      </c>
      <c r="C6" s="59"/>
      <c r="D6" s="201">
        <v>3718427.46</v>
      </c>
      <c r="E6" s="106">
        <v>3359769.81</v>
      </c>
      <c r="F6" s="106">
        <v>6.500452461110944</v>
      </c>
      <c r="G6" s="106">
        <v>172627.2</v>
      </c>
      <c r="H6" s="106">
        <v>0.4</v>
      </c>
      <c r="I6" s="106">
        <v>186030.45</v>
      </c>
      <c r="J6" s="106">
        <v>2.3721596125596767</v>
      </c>
    </row>
    <row r="7" spans="1:10" ht="16.5" thickBot="1">
      <c r="A7" s="60" t="s">
        <v>73</v>
      </c>
      <c r="B7" s="61" t="s">
        <v>74</v>
      </c>
      <c r="C7" s="62"/>
      <c r="D7" s="80">
        <v>579596.94</v>
      </c>
      <c r="E7" s="183">
        <v>579596.94</v>
      </c>
      <c r="F7" s="183">
        <v>1.12</v>
      </c>
      <c r="G7" s="183">
        <v>0</v>
      </c>
      <c r="H7" s="183">
        <v>0</v>
      </c>
      <c r="I7" s="183">
        <v>0</v>
      </c>
      <c r="J7" s="183">
        <v>0</v>
      </c>
    </row>
    <row r="8" spans="1:11" ht="63" thickBot="1">
      <c r="A8" s="63" t="s">
        <v>73</v>
      </c>
      <c r="B8" s="64" t="s">
        <v>75</v>
      </c>
      <c r="C8" s="65" t="s">
        <v>2</v>
      </c>
      <c r="D8" s="202">
        <v>579596.94</v>
      </c>
      <c r="E8" s="66">
        <v>579596.94</v>
      </c>
      <c r="F8" s="66">
        <v>1.12</v>
      </c>
      <c r="G8" s="66"/>
      <c r="H8" s="66"/>
      <c r="I8" s="66">
        <v>0</v>
      </c>
      <c r="J8" s="76">
        <v>0</v>
      </c>
      <c r="K8" s="270">
        <f>E8+E11+E15+E18+E22</f>
        <v>3054354.05</v>
      </c>
    </row>
    <row r="9" spans="1:10" ht="16.5" thickBot="1">
      <c r="A9" s="60" t="s">
        <v>77</v>
      </c>
      <c r="B9" s="61" t="s">
        <v>78</v>
      </c>
      <c r="C9" s="62"/>
      <c r="D9" s="80">
        <v>856255.92</v>
      </c>
      <c r="E9" s="183">
        <v>856255.92</v>
      </c>
      <c r="F9" s="183">
        <v>1.6600000000000001</v>
      </c>
      <c r="G9" s="183">
        <v>0</v>
      </c>
      <c r="H9" s="183">
        <v>0</v>
      </c>
      <c r="I9" s="183">
        <v>0</v>
      </c>
      <c r="J9" s="183">
        <v>0</v>
      </c>
    </row>
    <row r="10" spans="1:10" ht="60" customHeight="1">
      <c r="A10" s="67" t="s">
        <v>163</v>
      </c>
      <c r="B10" s="68" t="s">
        <v>79</v>
      </c>
      <c r="C10" s="69" t="s">
        <v>155</v>
      </c>
      <c r="D10" s="203">
        <v>62134.23</v>
      </c>
      <c r="E10" s="70">
        <v>62134.23</v>
      </c>
      <c r="F10" s="70">
        <v>0.12</v>
      </c>
      <c r="G10" s="70"/>
      <c r="H10" s="70"/>
      <c r="I10" s="70">
        <v>0</v>
      </c>
      <c r="J10" s="75">
        <v>0</v>
      </c>
    </row>
    <row r="11" spans="1:10" ht="78" thickBot="1">
      <c r="A11" s="71" t="s">
        <v>164</v>
      </c>
      <c r="B11" s="72" t="s">
        <v>81</v>
      </c>
      <c r="C11" s="73" t="s">
        <v>2</v>
      </c>
      <c r="D11" s="204">
        <v>794121.6900000001</v>
      </c>
      <c r="E11" s="74">
        <v>794121.6900000001</v>
      </c>
      <c r="F11" s="74">
        <v>1.54</v>
      </c>
      <c r="G11" s="74"/>
      <c r="H11" s="74"/>
      <c r="I11" s="74">
        <v>0</v>
      </c>
      <c r="J11" s="77">
        <v>0</v>
      </c>
    </row>
    <row r="12" spans="1:10" ht="16.5" thickBot="1">
      <c r="A12" s="60" t="s">
        <v>82</v>
      </c>
      <c r="B12" s="61" t="s">
        <v>3</v>
      </c>
      <c r="C12" s="62"/>
      <c r="D12" s="205">
        <v>519155.97000000003</v>
      </c>
      <c r="E12" s="183">
        <v>315159.81000000006</v>
      </c>
      <c r="F12" s="183">
        <v>0.61</v>
      </c>
      <c r="G12" s="183">
        <v>172627.2</v>
      </c>
      <c r="H12" s="183">
        <v>0.4</v>
      </c>
      <c r="I12" s="183">
        <v>31368.960000000003</v>
      </c>
      <c r="J12" s="183">
        <v>0.4</v>
      </c>
    </row>
    <row r="13" spans="1:10" ht="124.5">
      <c r="A13" s="67" t="s">
        <v>165</v>
      </c>
      <c r="B13" s="68" t="s">
        <v>83</v>
      </c>
      <c r="C13" s="67" t="s">
        <v>155</v>
      </c>
      <c r="D13" s="203">
        <v>11704.65</v>
      </c>
      <c r="E13" s="70">
        <v>11704.65</v>
      </c>
      <c r="F13" s="70">
        <v>0.02</v>
      </c>
      <c r="G13" s="70"/>
      <c r="H13" s="70"/>
      <c r="I13" s="70">
        <v>0</v>
      </c>
      <c r="J13" s="75">
        <v>0</v>
      </c>
    </row>
    <row r="14" spans="1:10" ht="62.25">
      <c r="A14" s="63"/>
      <c r="B14" s="64" t="s">
        <v>194</v>
      </c>
      <c r="C14" s="63" t="s">
        <v>193</v>
      </c>
      <c r="D14" s="203">
        <v>410871.84</v>
      </c>
      <c r="E14" s="66">
        <v>206875.68000000002</v>
      </c>
      <c r="F14" s="66">
        <v>0.4</v>
      </c>
      <c r="G14" s="66">
        <v>172627.2</v>
      </c>
      <c r="H14" s="66">
        <v>0.4</v>
      </c>
      <c r="I14" s="66">
        <v>31368.960000000003</v>
      </c>
      <c r="J14" s="76">
        <v>0.4</v>
      </c>
    </row>
    <row r="15" spans="1:10" ht="125.25" thickBot="1">
      <c r="A15" s="71" t="s">
        <v>166</v>
      </c>
      <c r="B15" s="72" t="s">
        <v>153</v>
      </c>
      <c r="C15" s="71" t="s">
        <v>2</v>
      </c>
      <c r="D15" s="203">
        <v>96579.48000000001</v>
      </c>
      <c r="E15" s="74">
        <v>96579.48000000001</v>
      </c>
      <c r="F15" s="74">
        <v>0.19</v>
      </c>
      <c r="G15" s="74"/>
      <c r="H15" s="74"/>
      <c r="I15" s="74">
        <v>0</v>
      </c>
      <c r="J15" s="77">
        <v>0</v>
      </c>
    </row>
    <row r="16" spans="1:10" ht="16.5" thickBot="1">
      <c r="A16" s="60" t="s">
        <v>84</v>
      </c>
      <c r="B16" s="61" t="s">
        <v>85</v>
      </c>
      <c r="C16" s="62"/>
      <c r="D16" s="205">
        <v>684792.5900000001</v>
      </c>
      <c r="E16" s="183">
        <v>630061.1000000001</v>
      </c>
      <c r="F16" s="183">
        <v>1.2204524611109437</v>
      </c>
      <c r="G16" s="183">
        <v>0</v>
      </c>
      <c r="H16" s="183">
        <v>0</v>
      </c>
      <c r="I16" s="183">
        <v>54731.48999999999</v>
      </c>
      <c r="J16" s="183">
        <v>0.6979063379850654</v>
      </c>
    </row>
    <row r="17" spans="1:10" ht="93">
      <c r="A17" s="67" t="s">
        <v>167</v>
      </c>
      <c r="B17" s="68" t="s">
        <v>154</v>
      </c>
      <c r="C17" s="73" t="s">
        <v>2</v>
      </c>
      <c r="D17" s="206">
        <v>4028.16</v>
      </c>
      <c r="E17" s="70">
        <v>4028.16</v>
      </c>
      <c r="F17" s="70">
        <v>0.01</v>
      </c>
      <c r="G17" s="70"/>
      <c r="H17" s="70"/>
      <c r="I17" s="70">
        <v>0</v>
      </c>
      <c r="J17" s="75">
        <v>0</v>
      </c>
    </row>
    <row r="18" spans="1:10" ht="93.75" thickBot="1">
      <c r="A18" s="71" t="s">
        <v>168</v>
      </c>
      <c r="B18" s="72" t="s">
        <v>86</v>
      </c>
      <c r="C18" s="73" t="s">
        <v>2</v>
      </c>
      <c r="D18" s="202">
        <v>680764.43</v>
      </c>
      <c r="E18" s="74">
        <v>626032.9400000001</v>
      </c>
      <c r="F18" s="74">
        <v>1.2104524611109437</v>
      </c>
      <c r="G18" s="74"/>
      <c r="H18" s="74"/>
      <c r="I18" s="74">
        <v>54731.48999999999</v>
      </c>
      <c r="J18" s="77">
        <v>0.6979063379850654</v>
      </c>
    </row>
    <row r="19" spans="1:10" ht="48.75" thickBot="1">
      <c r="A19" s="60" t="s">
        <v>87</v>
      </c>
      <c r="B19" s="78" t="s">
        <v>88</v>
      </c>
      <c r="C19" s="79"/>
      <c r="D19" s="205">
        <v>20673.04</v>
      </c>
      <c r="E19" s="183">
        <v>20673.04</v>
      </c>
      <c r="F19" s="183">
        <v>0.04</v>
      </c>
      <c r="G19" s="183">
        <v>0</v>
      </c>
      <c r="H19" s="183">
        <v>0</v>
      </c>
      <c r="I19" s="183">
        <v>0</v>
      </c>
      <c r="J19" s="183">
        <v>0</v>
      </c>
    </row>
    <row r="20" spans="1:10" ht="125.25" thickBot="1">
      <c r="A20" s="81" t="s">
        <v>87</v>
      </c>
      <c r="B20" s="82" t="s">
        <v>89</v>
      </c>
      <c r="C20" s="83" t="s">
        <v>2</v>
      </c>
      <c r="D20" s="207">
        <v>20673.04</v>
      </c>
      <c r="E20" s="84">
        <v>20673.04</v>
      </c>
      <c r="F20" s="84">
        <v>0.04</v>
      </c>
      <c r="G20" s="84">
        <v>0</v>
      </c>
      <c r="H20" s="84">
        <v>0</v>
      </c>
      <c r="I20" s="84">
        <v>0</v>
      </c>
      <c r="J20" s="184">
        <v>0</v>
      </c>
    </row>
    <row r="21" spans="1:10" ht="48.75" thickBot="1">
      <c r="A21" s="60" t="s">
        <v>90</v>
      </c>
      <c r="B21" s="61" t="s">
        <v>4</v>
      </c>
      <c r="C21" s="85"/>
      <c r="D21" s="205">
        <v>1057953</v>
      </c>
      <c r="E21" s="183">
        <v>958023</v>
      </c>
      <c r="F21" s="183">
        <v>1.85</v>
      </c>
      <c r="G21" s="183">
        <v>0</v>
      </c>
      <c r="H21" s="183">
        <v>0</v>
      </c>
      <c r="I21" s="183">
        <v>99930</v>
      </c>
      <c r="J21" s="183">
        <v>1.2742532745746113</v>
      </c>
    </row>
    <row r="22" spans="1:10" ht="82.5" customHeight="1" thickBot="1">
      <c r="A22" s="63" t="s">
        <v>90</v>
      </c>
      <c r="B22" s="64" t="s">
        <v>91</v>
      </c>
      <c r="C22" s="86" t="s">
        <v>2</v>
      </c>
      <c r="D22" s="202">
        <v>1057953</v>
      </c>
      <c r="E22" s="66">
        <v>958023</v>
      </c>
      <c r="F22" s="66">
        <v>1.85</v>
      </c>
      <c r="G22" s="66">
        <v>0</v>
      </c>
      <c r="H22" s="66">
        <v>0</v>
      </c>
      <c r="I22" s="66">
        <v>99930</v>
      </c>
      <c r="J22" s="76">
        <v>1.2742532745746113</v>
      </c>
    </row>
    <row r="23" spans="1:10" ht="16.5" thickBot="1">
      <c r="A23" s="60" t="s">
        <v>92</v>
      </c>
      <c r="B23" s="61" t="s">
        <v>93</v>
      </c>
      <c r="C23" s="62"/>
      <c r="D23" s="80">
        <v>0</v>
      </c>
      <c r="E23" s="171">
        <v>0</v>
      </c>
      <c r="F23" s="171">
        <v>0</v>
      </c>
      <c r="G23" s="183">
        <v>0</v>
      </c>
      <c r="H23" s="183">
        <v>0</v>
      </c>
      <c r="I23" s="183">
        <v>0</v>
      </c>
      <c r="J23" s="183">
        <v>0</v>
      </c>
    </row>
    <row r="24" spans="1:10" ht="47.25" thickBot="1">
      <c r="A24" s="87" t="s">
        <v>92</v>
      </c>
      <c r="B24" s="88" t="s">
        <v>94</v>
      </c>
      <c r="C24" s="89" t="s">
        <v>2</v>
      </c>
      <c r="D24" s="216"/>
      <c r="E24" s="185">
        <v>0</v>
      </c>
      <c r="F24" s="185">
        <v>0</v>
      </c>
      <c r="G24" s="185"/>
      <c r="H24" s="185"/>
      <c r="I24" s="185"/>
      <c r="J24" s="186">
        <v>0</v>
      </c>
    </row>
    <row r="25" spans="1:10" ht="48.75" thickBot="1">
      <c r="A25" s="90" t="s">
        <v>95</v>
      </c>
      <c r="B25" s="78" t="s">
        <v>96</v>
      </c>
      <c r="C25" s="79"/>
      <c r="D25" s="205">
        <v>16772772.654748885</v>
      </c>
      <c r="E25" s="183">
        <v>11506741.934748884</v>
      </c>
      <c r="F25" s="183">
        <v>22.32</v>
      </c>
      <c r="G25" s="183">
        <v>3763275</v>
      </c>
      <c r="H25" s="183">
        <v>8.72</v>
      </c>
      <c r="I25" s="183">
        <v>1502755.7199999997</v>
      </c>
      <c r="J25" s="183">
        <v>19.16232760027747</v>
      </c>
    </row>
    <row r="26" spans="1:10" ht="47.25" thickBot="1">
      <c r="A26" s="91" t="s">
        <v>20</v>
      </c>
      <c r="B26" s="92" t="s">
        <v>97</v>
      </c>
      <c r="C26" s="93"/>
      <c r="D26" s="182">
        <v>352755.192</v>
      </c>
      <c r="E26" s="187">
        <v>334718.04</v>
      </c>
      <c r="F26" s="187">
        <v>0.78</v>
      </c>
      <c r="G26" s="187">
        <v>0</v>
      </c>
      <c r="H26" s="187">
        <v>0</v>
      </c>
      <c r="I26" s="187">
        <v>18037.152</v>
      </c>
      <c r="J26" s="187">
        <v>0.23</v>
      </c>
    </row>
    <row r="27" spans="1:10" ht="30.75">
      <c r="A27" s="94" t="s">
        <v>98</v>
      </c>
      <c r="B27" s="95" t="s">
        <v>99</v>
      </c>
      <c r="C27" s="96" t="s">
        <v>155</v>
      </c>
      <c r="D27" s="208">
        <v>344190.168</v>
      </c>
      <c r="E27" s="98">
        <v>326937.24</v>
      </c>
      <c r="F27" s="98">
        <v>0.63</v>
      </c>
      <c r="G27" s="98"/>
      <c r="H27" s="98"/>
      <c r="I27" s="98">
        <v>17252.928</v>
      </c>
      <c r="J27" s="99">
        <v>0.22</v>
      </c>
    </row>
    <row r="28" spans="1:10" ht="47.25" thickBot="1">
      <c r="A28" s="100" t="s">
        <v>100</v>
      </c>
      <c r="B28" s="101" t="s">
        <v>101</v>
      </c>
      <c r="C28" s="102" t="s">
        <v>155</v>
      </c>
      <c r="D28" s="208">
        <v>8565.024</v>
      </c>
      <c r="E28" s="180">
        <v>7780.8</v>
      </c>
      <c r="F28" s="180">
        <v>0.15</v>
      </c>
      <c r="G28" s="180"/>
      <c r="H28" s="180"/>
      <c r="I28" s="180">
        <v>784.2239999999999</v>
      </c>
      <c r="J28" s="178">
        <v>0.01</v>
      </c>
    </row>
    <row r="29" spans="1:10" ht="63" thickBot="1">
      <c r="A29" s="103" t="s">
        <v>21</v>
      </c>
      <c r="B29" s="104" t="s">
        <v>6</v>
      </c>
      <c r="C29" s="105"/>
      <c r="D29" s="201">
        <v>11142380.74807291</v>
      </c>
      <c r="E29" s="106">
        <v>7735709.996072907</v>
      </c>
      <c r="F29" s="106">
        <v>14.9</v>
      </c>
      <c r="G29" s="106">
        <v>2442676.92</v>
      </c>
      <c r="H29" s="106">
        <v>5.66</v>
      </c>
      <c r="I29" s="106">
        <v>963993.8319999997</v>
      </c>
      <c r="J29" s="106">
        <v>12.292327600277472</v>
      </c>
    </row>
    <row r="30" spans="1:10" ht="46.5">
      <c r="A30" s="94" t="s">
        <v>110</v>
      </c>
      <c r="B30" s="95" t="s">
        <v>158</v>
      </c>
      <c r="C30" s="96" t="s">
        <v>2</v>
      </c>
      <c r="D30" s="208">
        <v>4599668.28</v>
      </c>
      <c r="E30" s="98">
        <v>4126882.64</v>
      </c>
      <c r="F30" s="98">
        <v>7.98</v>
      </c>
      <c r="G30" s="98"/>
      <c r="H30" s="98"/>
      <c r="I30" s="98">
        <v>472785.64</v>
      </c>
      <c r="J30" s="99">
        <v>6.028706594034358</v>
      </c>
    </row>
    <row r="31" spans="1:10" ht="46.5">
      <c r="A31" s="94"/>
      <c r="B31" s="107" t="s">
        <v>7</v>
      </c>
      <c r="C31" s="96" t="s">
        <v>192</v>
      </c>
      <c r="D31" s="208">
        <v>61487.344</v>
      </c>
      <c r="E31" s="97">
        <v>56782</v>
      </c>
      <c r="F31" s="97">
        <v>0.06</v>
      </c>
      <c r="G31" s="97"/>
      <c r="H31" s="97"/>
      <c r="I31" s="97">
        <v>4705.344</v>
      </c>
      <c r="J31" s="108">
        <v>0.06</v>
      </c>
    </row>
    <row r="32" spans="1:10" ht="30.75">
      <c r="A32" s="109" t="s">
        <v>169</v>
      </c>
      <c r="B32" s="110" t="s">
        <v>159</v>
      </c>
      <c r="C32" s="111" t="s">
        <v>105</v>
      </c>
      <c r="D32" s="208">
        <v>203354.38</v>
      </c>
      <c r="E32" s="112">
        <v>203354.38</v>
      </c>
      <c r="F32" s="112">
        <v>0.38999999999999996</v>
      </c>
      <c r="G32" s="112"/>
      <c r="H32" s="112"/>
      <c r="I32" s="112"/>
      <c r="J32" s="113"/>
    </row>
    <row r="33" spans="1:10" ht="30.75">
      <c r="A33" s="109" t="s">
        <v>170</v>
      </c>
      <c r="B33" s="114" t="s">
        <v>8</v>
      </c>
      <c r="C33" s="111" t="s">
        <v>14</v>
      </c>
      <c r="D33" s="208">
        <v>400600.044</v>
      </c>
      <c r="E33" s="112">
        <v>201703.78799999997</v>
      </c>
      <c r="F33" s="112">
        <v>0.39</v>
      </c>
      <c r="G33" s="112">
        <v>168311.52</v>
      </c>
      <c r="H33" s="112">
        <v>0.39</v>
      </c>
      <c r="I33" s="112">
        <v>30584.735999999997</v>
      </c>
      <c r="J33" s="113">
        <v>0.39</v>
      </c>
    </row>
    <row r="34" spans="1:10" ht="15">
      <c r="A34" s="109" t="s">
        <v>171</v>
      </c>
      <c r="B34" s="115" t="s">
        <v>9</v>
      </c>
      <c r="C34" s="111" t="s">
        <v>14</v>
      </c>
      <c r="D34" s="208">
        <v>60868.8</v>
      </c>
      <c r="E34" s="112">
        <v>60868.8</v>
      </c>
      <c r="F34" s="112">
        <v>0.12</v>
      </c>
      <c r="G34" s="112"/>
      <c r="H34" s="112"/>
      <c r="I34" s="112">
        <v>0</v>
      </c>
      <c r="J34" s="113">
        <v>0</v>
      </c>
    </row>
    <row r="35" spans="1:10" ht="15">
      <c r="A35" s="109" t="s">
        <v>172</v>
      </c>
      <c r="B35" s="115" t="s">
        <v>10</v>
      </c>
      <c r="C35" s="111" t="s">
        <v>14</v>
      </c>
      <c r="D35" s="208">
        <v>100315.67620484286</v>
      </c>
      <c r="E35" s="188">
        <v>49316.63620484286</v>
      </c>
      <c r="F35" s="188">
        <v>0.1</v>
      </c>
      <c r="G35" s="188">
        <v>43156.8</v>
      </c>
      <c r="H35" s="188">
        <v>0.1</v>
      </c>
      <c r="I35" s="188">
        <v>7842.24</v>
      </c>
      <c r="J35" s="113">
        <v>0.1</v>
      </c>
    </row>
    <row r="36" spans="1:10" ht="15">
      <c r="A36" s="116" t="s">
        <v>173</v>
      </c>
      <c r="B36" s="115" t="s">
        <v>11</v>
      </c>
      <c r="C36" s="111" t="s">
        <v>14</v>
      </c>
      <c r="D36" s="208">
        <v>329617.44</v>
      </c>
      <c r="E36" s="188">
        <v>172800</v>
      </c>
      <c r="F36" s="188">
        <v>0.33</v>
      </c>
      <c r="G36" s="188">
        <v>142417.44</v>
      </c>
      <c r="H36" s="188">
        <v>0.33</v>
      </c>
      <c r="I36" s="188">
        <v>14400</v>
      </c>
      <c r="J36" s="113">
        <v>0.18362100624311423</v>
      </c>
    </row>
    <row r="37" spans="1:10" ht="15">
      <c r="A37" s="116" t="s">
        <v>174</v>
      </c>
      <c r="B37" s="115" t="s">
        <v>12</v>
      </c>
      <c r="C37" s="111" t="s">
        <v>14</v>
      </c>
      <c r="D37" s="208">
        <v>220376.292</v>
      </c>
      <c r="E37" s="188">
        <v>191360.004</v>
      </c>
      <c r="F37" s="188">
        <v>0.37</v>
      </c>
      <c r="G37" s="188"/>
      <c r="H37" s="188"/>
      <c r="I37" s="188">
        <v>29016.287999999997</v>
      </c>
      <c r="J37" s="113">
        <v>0.37</v>
      </c>
    </row>
    <row r="38" spans="1:10" ht="30.75">
      <c r="A38" s="116" t="s">
        <v>175</v>
      </c>
      <c r="B38" s="117" t="s">
        <v>160</v>
      </c>
      <c r="C38" s="111" t="s">
        <v>14</v>
      </c>
      <c r="D38" s="208">
        <v>191547.18800000002</v>
      </c>
      <c r="E38" s="112">
        <v>166452.02000000002</v>
      </c>
      <c r="F38" s="112">
        <v>0.32</v>
      </c>
      <c r="G38" s="112"/>
      <c r="H38" s="112"/>
      <c r="I38" s="112">
        <v>25095.168</v>
      </c>
      <c r="J38" s="113">
        <v>0.32</v>
      </c>
    </row>
    <row r="39" spans="1:10" ht="15">
      <c r="A39" s="118" t="s">
        <v>176</v>
      </c>
      <c r="B39" s="119" t="s">
        <v>161</v>
      </c>
      <c r="C39" s="120" t="s">
        <v>14</v>
      </c>
      <c r="D39" s="217"/>
      <c r="E39" s="189">
        <v>0</v>
      </c>
      <c r="F39" s="189">
        <v>0</v>
      </c>
      <c r="G39" s="189"/>
      <c r="H39" s="189"/>
      <c r="I39" s="189"/>
      <c r="J39" s="121"/>
    </row>
    <row r="40" spans="1:10" ht="30.75">
      <c r="A40" s="116" t="s">
        <v>177</v>
      </c>
      <c r="B40" s="110" t="s">
        <v>103</v>
      </c>
      <c r="C40" s="111" t="s">
        <v>102</v>
      </c>
      <c r="D40" s="209">
        <v>175881.06453173017</v>
      </c>
      <c r="E40" s="179">
        <v>89180.65653173019</v>
      </c>
      <c r="F40" s="179">
        <v>0.17</v>
      </c>
      <c r="G40" s="179">
        <v>73368.6</v>
      </c>
      <c r="H40" s="179">
        <v>0.17</v>
      </c>
      <c r="I40" s="179">
        <v>13331.807999999999</v>
      </c>
      <c r="J40" s="113">
        <v>0.17</v>
      </c>
    </row>
    <row r="41" spans="1:10" ht="78">
      <c r="A41" s="122" t="s">
        <v>178</v>
      </c>
      <c r="B41" s="123" t="s">
        <v>189</v>
      </c>
      <c r="C41" s="111" t="s">
        <v>102</v>
      </c>
      <c r="D41" s="209">
        <v>2056829.0439831282</v>
      </c>
      <c r="E41" s="179">
        <v>1036848.2439831281</v>
      </c>
      <c r="F41" s="179">
        <v>2</v>
      </c>
      <c r="G41" s="179">
        <v>863136</v>
      </c>
      <c r="H41" s="179">
        <v>2</v>
      </c>
      <c r="I41" s="179">
        <v>156844.8</v>
      </c>
      <c r="J41" s="177">
        <v>2</v>
      </c>
    </row>
    <row r="42" spans="1:10" ht="15">
      <c r="A42" s="245" t="s">
        <v>179</v>
      </c>
      <c r="B42" s="110" t="s">
        <v>104</v>
      </c>
      <c r="C42" s="248" t="s">
        <v>105</v>
      </c>
      <c r="D42" s="257">
        <v>2741835.195353207</v>
      </c>
      <c r="E42" s="251">
        <v>1380160.827353207</v>
      </c>
      <c r="F42" s="254">
        <v>2.67</v>
      </c>
      <c r="G42" s="254">
        <v>1152286.56</v>
      </c>
      <c r="H42" s="254">
        <v>2.67</v>
      </c>
      <c r="I42" s="254">
        <v>209387.808</v>
      </c>
      <c r="J42" s="254">
        <v>2.67</v>
      </c>
    </row>
    <row r="43" spans="1:10" ht="15">
      <c r="A43" s="246"/>
      <c r="B43" s="110" t="s">
        <v>106</v>
      </c>
      <c r="C43" s="249"/>
      <c r="D43" s="258"/>
      <c r="E43" s="252"/>
      <c r="F43" s="255"/>
      <c r="G43" s="255"/>
      <c r="H43" s="255"/>
      <c r="I43" s="255"/>
      <c r="J43" s="255"/>
    </row>
    <row r="44" spans="1:10" ht="15">
      <c r="A44" s="246"/>
      <c r="B44" s="110" t="s">
        <v>107</v>
      </c>
      <c r="C44" s="249"/>
      <c r="D44" s="258"/>
      <c r="E44" s="252"/>
      <c r="F44" s="255"/>
      <c r="G44" s="255"/>
      <c r="H44" s="255"/>
      <c r="I44" s="255"/>
      <c r="J44" s="255"/>
    </row>
    <row r="45" spans="1:10" ht="15.75" thickBot="1">
      <c r="A45" s="247"/>
      <c r="B45" s="101" t="s">
        <v>108</v>
      </c>
      <c r="C45" s="250"/>
      <c r="D45" s="259"/>
      <c r="E45" s="253"/>
      <c r="F45" s="256"/>
      <c r="G45" s="256"/>
      <c r="H45" s="256"/>
      <c r="I45" s="256"/>
      <c r="J45" s="256"/>
    </row>
    <row r="46" spans="1:10" ht="33" thickBot="1">
      <c r="A46" s="60" t="s">
        <v>156</v>
      </c>
      <c r="B46" s="78" t="s">
        <v>109</v>
      </c>
      <c r="C46" s="79"/>
      <c r="D46" s="205">
        <v>5277636.714675976</v>
      </c>
      <c r="E46" s="183">
        <v>3436313.8986759763</v>
      </c>
      <c r="F46" s="183">
        <v>6.64</v>
      </c>
      <c r="G46" s="183">
        <v>1320598.08</v>
      </c>
      <c r="H46" s="183">
        <v>3.06</v>
      </c>
      <c r="I46" s="183">
        <v>520724.7359999999</v>
      </c>
      <c r="J46" s="183">
        <v>6.64</v>
      </c>
    </row>
    <row r="47" spans="1:10" ht="93.75" thickBot="1">
      <c r="A47" s="124" t="s">
        <v>157</v>
      </c>
      <c r="B47" s="125" t="s">
        <v>111</v>
      </c>
      <c r="C47" s="96" t="s">
        <v>15</v>
      </c>
      <c r="D47" s="210">
        <v>5277636.714675976</v>
      </c>
      <c r="E47" s="180">
        <v>3436313.8986759763</v>
      </c>
      <c r="F47" s="180">
        <v>6.64</v>
      </c>
      <c r="G47" s="180">
        <v>1320598.08</v>
      </c>
      <c r="H47" s="180">
        <v>3.06</v>
      </c>
      <c r="I47" s="180">
        <v>520724.7359999999</v>
      </c>
      <c r="J47" s="178">
        <v>6.64</v>
      </c>
    </row>
    <row r="48" spans="1:10" ht="48.75" thickBot="1">
      <c r="A48" s="90" t="s">
        <v>112</v>
      </c>
      <c r="B48" s="126" t="s">
        <v>113</v>
      </c>
      <c r="C48" s="127"/>
      <c r="D48" s="205">
        <v>3345181.1067955075</v>
      </c>
      <c r="E48" s="183">
        <v>2381345.330795508</v>
      </c>
      <c r="F48" s="183">
        <v>4.600686280554431</v>
      </c>
      <c r="G48" s="183">
        <v>43156.8</v>
      </c>
      <c r="H48" s="183">
        <v>0.1</v>
      </c>
      <c r="I48" s="183">
        <v>920678.976</v>
      </c>
      <c r="J48" s="183">
        <v>11.739999999999998</v>
      </c>
    </row>
    <row r="49" spans="1:10" ht="16.5" thickBot="1">
      <c r="A49" s="60" t="s">
        <v>114</v>
      </c>
      <c r="B49" s="61" t="s">
        <v>115</v>
      </c>
      <c r="C49" s="62"/>
      <c r="D49" s="205">
        <f>E49+G49+I49</f>
        <v>4939508.4987955075</v>
      </c>
      <c r="E49" s="183">
        <v>2381345.330795508</v>
      </c>
      <c r="F49" s="183">
        <v>4.600686280554431</v>
      </c>
      <c r="G49" s="183">
        <v>43156.8</v>
      </c>
      <c r="H49" s="183">
        <v>0.1</v>
      </c>
      <c r="I49" s="183">
        <f>920678.976+I60</f>
        <v>2515006.368</v>
      </c>
      <c r="J49" s="183">
        <f>11.74+J60</f>
        <v>32.07</v>
      </c>
    </row>
    <row r="50" spans="1:10" ht="30.75">
      <c r="A50" s="128" t="s">
        <v>116</v>
      </c>
      <c r="B50" s="129" t="s">
        <v>199</v>
      </c>
      <c r="C50" s="130" t="s">
        <v>15</v>
      </c>
      <c r="D50" s="260">
        <v>993678.872</v>
      </c>
      <c r="E50" s="241">
        <v>469817.24</v>
      </c>
      <c r="F50" s="241">
        <v>0.9084049705600968</v>
      </c>
      <c r="G50" s="241"/>
      <c r="H50" s="176"/>
      <c r="I50" s="241">
        <v>523861.632</v>
      </c>
      <c r="J50" s="241">
        <v>6.68</v>
      </c>
    </row>
    <row r="51" spans="1:10" ht="30.75">
      <c r="A51" s="131" t="s">
        <v>117</v>
      </c>
      <c r="B51" s="132" t="s">
        <v>200</v>
      </c>
      <c r="C51" s="133" t="s">
        <v>118</v>
      </c>
      <c r="D51" s="261"/>
      <c r="E51" s="242"/>
      <c r="F51" s="242"/>
      <c r="G51" s="242"/>
      <c r="H51" s="174"/>
      <c r="I51" s="242"/>
      <c r="J51" s="242"/>
    </row>
    <row r="52" spans="1:10" ht="15">
      <c r="A52" s="131"/>
      <c r="B52" s="132" t="s">
        <v>191</v>
      </c>
      <c r="C52" s="133" t="s">
        <v>15</v>
      </c>
      <c r="D52" s="262"/>
      <c r="E52" s="243"/>
      <c r="F52" s="243"/>
      <c r="G52" s="243"/>
      <c r="H52" s="175"/>
      <c r="I52" s="243"/>
      <c r="J52" s="243"/>
    </row>
    <row r="53" spans="1:10" ht="15">
      <c r="A53" s="131" t="s">
        <v>119</v>
      </c>
      <c r="B53" s="132" t="s">
        <v>120</v>
      </c>
      <c r="C53" s="133" t="s">
        <v>121</v>
      </c>
      <c r="D53" s="211">
        <v>584301.612</v>
      </c>
      <c r="E53" s="134">
        <v>280022.7</v>
      </c>
      <c r="F53" s="134">
        <v>0.5414318396439833</v>
      </c>
      <c r="G53" s="134"/>
      <c r="H53" s="134"/>
      <c r="I53" s="134">
        <v>304278.912</v>
      </c>
      <c r="J53" s="135">
        <v>3.88</v>
      </c>
    </row>
    <row r="54" spans="1:10" ht="30.75">
      <c r="A54" s="131" t="s">
        <v>122</v>
      </c>
      <c r="B54" s="132" t="s">
        <v>123</v>
      </c>
      <c r="C54" s="133" t="s">
        <v>121</v>
      </c>
      <c r="D54" s="263">
        <v>348980.32279550785</v>
      </c>
      <c r="E54" s="266">
        <v>213285.0907955079</v>
      </c>
      <c r="F54" s="269">
        <v>0.408680289534275</v>
      </c>
      <c r="G54" s="269">
        <v>43156.8</v>
      </c>
      <c r="H54" s="269">
        <v>0.1</v>
      </c>
      <c r="I54" s="269">
        <v>92538.43199999999</v>
      </c>
      <c r="J54" s="269">
        <v>1.18</v>
      </c>
    </row>
    <row r="55" spans="1:10" ht="46.5">
      <c r="A55" s="131" t="s">
        <v>124</v>
      </c>
      <c r="B55" s="132" t="s">
        <v>125</v>
      </c>
      <c r="C55" s="133" t="s">
        <v>126</v>
      </c>
      <c r="D55" s="261"/>
      <c r="E55" s="267"/>
      <c r="F55" s="242"/>
      <c r="G55" s="242"/>
      <c r="H55" s="242"/>
      <c r="I55" s="242"/>
      <c r="J55" s="242"/>
    </row>
    <row r="56" spans="1:10" ht="30.75">
      <c r="A56" s="131" t="s">
        <v>127</v>
      </c>
      <c r="B56" s="132" t="s">
        <v>128</v>
      </c>
      <c r="C56" s="133" t="s">
        <v>80</v>
      </c>
      <c r="D56" s="261"/>
      <c r="E56" s="267"/>
      <c r="F56" s="242"/>
      <c r="G56" s="242"/>
      <c r="H56" s="242"/>
      <c r="I56" s="242"/>
      <c r="J56" s="242"/>
    </row>
    <row r="57" spans="1:10" ht="15">
      <c r="A57" s="131" t="s">
        <v>129</v>
      </c>
      <c r="B57" s="132" t="s">
        <v>130</v>
      </c>
      <c r="C57" s="133" t="s">
        <v>80</v>
      </c>
      <c r="D57" s="262"/>
      <c r="E57" s="268"/>
      <c r="F57" s="243"/>
      <c r="G57" s="243"/>
      <c r="H57" s="243"/>
      <c r="I57" s="243"/>
      <c r="J57" s="243"/>
    </row>
    <row r="58" spans="1:10" ht="15">
      <c r="A58" s="131" t="s">
        <v>131</v>
      </c>
      <c r="B58" s="132" t="s">
        <v>133</v>
      </c>
      <c r="C58" s="133" t="s">
        <v>80</v>
      </c>
      <c r="D58" s="211">
        <v>16080.53</v>
      </c>
      <c r="E58" s="134">
        <v>16080.53</v>
      </c>
      <c r="F58" s="172">
        <v>0.031092161243892955</v>
      </c>
      <c r="G58" s="172"/>
      <c r="H58" s="172"/>
      <c r="I58" s="172"/>
      <c r="J58" s="173"/>
    </row>
    <row r="59" spans="1:10" ht="30.75">
      <c r="A59" s="136" t="s">
        <v>132</v>
      </c>
      <c r="B59" s="137" t="s">
        <v>134</v>
      </c>
      <c r="C59" s="138" t="s">
        <v>2</v>
      </c>
      <c r="D59" s="211">
        <v>32559.399999999998</v>
      </c>
      <c r="E59" s="172">
        <v>32559.399999999998</v>
      </c>
      <c r="F59" s="172">
        <v>0.06295449497190042</v>
      </c>
      <c r="G59" s="172"/>
      <c r="H59" s="172"/>
      <c r="I59" s="172"/>
      <c r="J59" s="173"/>
    </row>
    <row r="60" spans="1:10" ht="15.75" thickBot="1">
      <c r="A60" s="139"/>
      <c r="B60" s="140" t="s">
        <v>180</v>
      </c>
      <c r="C60" s="141" t="s">
        <v>181</v>
      </c>
      <c r="D60" s="211">
        <v>1369580.3699999999</v>
      </c>
      <c r="E60" s="190">
        <v>1369580.3699999999</v>
      </c>
      <c r="F60" s="190">
        <v>2.6481225246002817</v>
      </c>
      <c r="G60" s="190"/>
      <c r="H60" s="190"/>
      <c r="I60" s="190">
        <f>J60*6535.2*12</f>
        <v>1594327.3919999998</v>
      </c>
      <c r="J60" s="191">
        <v>20.33</v>
      </c>
    </row>
    <row r="61" spans="1:10" ht="16.5" thickBot="1">
      <c r="A61" s="55" t="s">
        <v>135</v>
      </c>
      <c r="B61" s="61" t="s">
        <v>136</v>
      </c>
      <c r="C61" s="62"/>
      <c r="D61" s="205">
        <v>2711754.144</v>
      </c>
      <c r="E61" s="183">
        <v>1365379.488</v>
      </c>
      <c r="F61" s="183">
        <v>2.64</v>
      </c>
      <c r="G61" s="183">
        <v>1139339.52</v>
      </c>
      <c r="H61" s="183">
        <v>2.64</v>
      </c>
      <c r="I61" s="183">
        <v>207035.136</v>
      </c>
      <c r="J61" s="183">
        <v>2.64</v>
      </c>
    </row>
    <row r="62" spans="1:10" ht="197.25" customHeight="1" thickBot="1">
      <c r="A62" s="142" t="s">
        <v>137</v>
      </c>
      <c r="B62" s="143" t="s">
        <v>138</v>
      </c>
      <c r="C62" s="144" t="s">
        <v>139</v>
      </c>
      <c r="D62" s="212">
        <v>2711754.144</v>
      </c>
      <c r="E62" s="145">
        <v>1365379.488</v>
      </c>
      <c r="F62" s="146">
        <v>2.64</v>
      </c>
      <c r="G62" s="146">
        <v>1139339.52</v>
      </c>
      <c r="H62" s="146">
        <v>2.64</v>
      </c>
      <c r="I62" s="146">
        <v>207035.136</v>
      </c>
      <c r="J62" s="147">
        <v>2.64</v>
      </c>
    </row>
    <row r="63" spans="1:10" ht="16.5" thickBot="1">
      <c r="A63" s="90" t="s">
        <v>140</v>
      </c>
      <c r="B63" s="61" t="s">
        <v>141</v>
      </c>
      <c r="C63" s="62"/>
      <c r="D63" s="205">
        <v>20206713.6156</v>
      </c>
      <c r="E63" s="183">
        <f aca="true" t="shared" si="0" ref="E63:J63">E65+E66+E67+E68+E69+E70+E71+E72+E73</f>
        <v>9566643.253980294</v>
      </c>
      <c r="F63" s="183">
        <f t="shared" si="0"/>
        <v>18.425458853355796</v>
      </c>
      <c r="G63" s="183">
        <f t="shared" si="0"/>
        <v>9559642.704</v>
      </c>
      <c r="H63" s="183">
        <f t="shared" si="0"/>
        <v>23.77</v>
      </c>
      <c r="I63" s="183">
        <f t="shared" si="0"/>
        <v>1115109.5176197065</v>
      </c>
      <c r="J63" s="183">
        <f t="shared" si="0"/>
        <v>14.219273050978586</v>
      </c>
    </row>
    <row r="64" spans="1:10" ht="30.75" hidden="1">
      <c r="A64" s="148" t="s">
        <v>142</v>
      </c>
      <c r="B64" s="149" t="s">
        <v>143</v>
      </c>
      <c r="C64" s="150" t="s">
        <v>76</v>
      </c>
      <c r="D64" s="218"/>
      <c r="E64" s="192">
        <v>0</v>
      </c>
      <c r="F64" s="193">
        <v>0</v>
      </c>
      <c r="G64" s="193"/>
      <c r="H64" s="193"/>
      <c r="I64" s="193"/>
      <c r="J64" s="194">
        <v>0</v>
      </c>
    </row>
    <row r="65" spans="1:10" ht="30.75">
      <c r="A65" s="151" t="s">
        <v>142</v>
      </c>
      <c r="B65" s="152" t="s">
        <v>145</v>
      </c>
      <c r="C65" s="153" t="s">
        <v>14</v>
      </c>
      <c r="D65" s="213">
        <v>7842.24</v>
      </c>
      <c r="E65" s="154">
        <v>3062.228380293466</v>
      </c>
      <c r="F65" s="154">
        <v>0.006818703870846491</v>
      </c>
      <c r="G65" s="154">
        <v>4315.68</v>
      </c>
      <c r="H65" s="154">
        <v>0.01</v>
      </c>
      <c r="I65" s="154">
        <v>464.33161970653373</v>
      </c>
      <c r="J65" s="219">
        <v>0.01</v>
      </c>
    </row>
    <row r="66" spans="1:10" ht="30.75">
      <c r="A66" s="151" t="s">
        <v>144</v>
      </c>
      <c r="B66" s="156" t="s">
        <v>17</v>
      </c>
      <c r="C66" s="153" t="s">
        <v>14</v>
      </c>
      <c r="D66" s="213">
        <v>1937366.88</v>
      </c>
      <c r="E66" s="154">
        <v>974291.04</v>
      </c>
      <c r="F66" s="154">
        <v>1.88</v>
      </c>
      <c r="G66" s="154">
        <v>811347.84</v>
      </c>
      <c r="H66" s="154">
        <v>1.88</v>
      </c>
      <c r="I66" s="154">
        <v>151728</v>
      </c>
      <c r="J66" s="219">
        <v>1.9347533357816136</v>
      </c>
    </row>
    <row r="67" spans="1:10" ht="15">
      <c r="A67" s="151" t="s">
        <v>146</v>
      </c>
      <c r="B67" s="156" t="s">
        <v>182</v>
      </c>
      <c r="C67" s="153" t="s">
        <v>14</v>
      </c>
      <c r="D67" s="213">
        <v>912895.52</v>
      </c>
      <c r="E67" s="154">
        <v>459000</v>
      </c>
      <c r="F67" s="154">
        <v>0.8874895299437808</v>
      </c>
      <c r="G67" s="154">
        <v>384095.52</v>
      </c>
      <c r="H67" s="154">
        <v>0.89</v>
      </c>
      <c r="I67" s="154">
        <v>69800</v>
      </c>
      <c r="J67" s="219">
        <v>0.8874895299437808</v>
      </c>
    </row>
    <row r="68" spans="1:10" ht="30.75">
      <c r="A68" s="157" t="s">
        <v>147</v>
      </c>
      <c r="B68" s="156" t="s">
        <v>18</v>
      </c>
      <c r="C68" s="153" t="s">
        <v>14</v>
      </c>
      <c r="D68" s="213">
        <v>744600</v>
      </c>
      <c r="E68" s="195">
        <v>138000</v>
      </c>
      <c r="F68" s="195">
        <v>0.2668269174994374</v>
      </c>
      <c r="G68" s="195">
        <v>513600</v>
      </c>
      <c r="H68" s="195">
        <v>1.19</v>
      </c>
      <c r="I68" s="195">
        <v>93000</v>
      </c>
      <c r="J68" s="219">
        <v>1.19</v>
      </c>
    </row>
    <row r="69" spans="1:10" ht="30.75">
      <c r="A69" s="157" t="s">
        <v>184</v>
      </c>
      <c r="B69" s="156" t="s">
        <v>19</v>
      </c>
      <c r="C69" s="153" t="s">
        <v>14</v>
      </c>
      <c r="D69" s="213">
        <v>267993.84</v>
      </c>
      <c r="E69" s="154">
        <v>267993.84</v>
      </c>
      <c r="F69" s="154">
        <v>0.51817369736259</v>
      </c>
      <c r="G69" s="154">
        <v>0</v>
      </c>
      <c r="H69" s="154">
        <v>0</v>
      </c>
      <c r="I69" s="154">
        <v>0</v>
      </c>
      <c r="J69" s="219">
        <v>0</v>
      </c>
    </row>
    <row r="70" spans="1:10" ht="15">
      <c r="A70" s="157"/>
      <c r="B70" s="156" t="s">
        <v>190</v>
      </c>
      <c r="C70" s="153" t="s">
        <v>14</v>
      </c>
      <c r="D70" s="213">
        <v>300710.544</v>
      </c>
      <c r="E70" s="154">
        <v>0</v>
      </c>
      <c r="F70" s="154">
        <v>0</v>
      </c>
      <c r="G70" s="154">
        <v>147110.544</v>
      </c>
      <c r="H70" s="154">
        <v>1.96</v>
      </c>
      <c r="I70" s="154">
        <v>153600</v>
      </c>
      <c r="J70" s="219">
        <v>1.96</v>
      </c>
    </row>
    <row r="71" spans="1:10" ht="15">
      <c r="A71" s="158" t="s">
        <v>185</v>
      </c>
      <c r="B71" s="159" t="s">
        <v>148</v>
      </c>
      <c r="C71" s="155" t="s">
        <v>15</v>
      </c>
      <c r="D71" s="213">
        <v>3697846.56</v>
      </c>
      <c r="E71" s="196">
        <v>1861881.12</v>
      </c>
      <c r="F71" s="196">
        <v>3.6</v>
      </c>
      <c r="G71" s="196">
        <v>1553644.8</v>
      </c>
      <c r="H71" s="196">
        <v>3.6</v>
      </c>
      <c r="I71" s="196">
        <v>282320.64</v>
      </c>
      <c r="J71" s="219">
        <v>3.6</v>
      </c>
    </row>
    <row r="72" spans="1:10" ht="15">
      <c r="A72" s="160" t="s">
        <v>186</v>
      </c>
      <c r="B72" s="161" t="s">
        <v>149</v>
      </c>
      <c r="C72" s="162" t="s">
        <v>15</v>
      </c>
      <c r="D72" s="213">
        <v>9315998.440000001</v>
      </c>
      <c r="E72" s="197">
        <v>4306194.86</v>
      </c>
      <c r="F72" s="197">
        <v>8.32615000467914</v>
      </c>
      <c r="G72" s="197">
        <f>4876718.4</f>
        <v>4876718.4</v>
      </c>
      <c r="H72" s="197">
        <v>11.3</v>
      </c>
      <c r="I72" s="197">
        <v>133085.18</v>
      </c>
      <c r="J72" s="220">
        <v>1.6970301852531928</v>
      </c>
    </row>
    <row r="73" spans="1:10" ht="15">
      <c r="A73" s="158" t="s">
        <v>187</v>
      </c>
      <c r="B73" s="159" t="s">
        <v>150</v>
      </c>
      <c r="C73" s="155" t="s">
        <v>15</v>
      </c>
      <c r="D73" s="213">
        <v>3021459.5916000004</v>
      </c>
      <c r="E73" s="196">
        <f>1522087.8156+34132.35</f>
        <v>1556220.1656000002</v>
      </c>
      <c r="F73" s="196">
        <v>2.94</v>
      </c>
      <c r="G73" s="196">
        <f>1268809.92</f>
        <v>1268809.92</v>
      </c>
      <c r="H73" s="196">
        <v>2.94</v>
      </c>
      <c r="I73" s="196">
        <f>230561.856+549.51</f>
        <v>231111.366</v>
      </c>
      <c r="J73" s="219">
        <v>2.94</v>
      </c>
    </row>
    <row r="74" spans="1:10" ht="15.75" thickBot="1">
      <c r="A74" s="163" t="s">
        <v>188</v>
      </c>
      <c r="B74" s="164" t="s">
        <v>151</v>
      </c>
      <c r="C74" s="165" t="s">
        <v>2</v>
      </c>
      <c r="D74" s="221"/>
      <c r="E74" s="198"/>
      <c r="F74" s="198"/>
      <c r="G74" s="198"/>
      <c r="H74" s="198"/>
      <c r="I74" s="198"/>
      <c r="J74" s="199"/>
    </row>
    <row r="75" spans="1:10" ht="33" thickBot="1">
      <c r="A75" s="166" t="s">
        <v>5</v>
      </c>
      <c r="B75" s="167" t="s">
        <v>162</v>
      </c>
      <c r="C75" s="168" t="s">
        <v>2</v>
      </c>
      <c r="D75" s="169">
        <v>3656759.376</v>
      </c>
      <c r="E75" s="181">
        <v>1841193.552</v>
      </c>
      <c r="F75" s="181">
        <v>3.56</v>
      </c>
      <c r="G75" s="181">
        <v>1536382.08</v>
      </c>
      <c r="H75" s="181">
        <v>3.56</v>
      </c>
      <c r="I75" s="181">
        <v>279183.744</v>
      </c>
      <c r="J75" s="182">
        <v>3.56</v>
      </c>
    </row>
    <row r="76" spans="1:10" ht="16.5" thickBot="1">
      <c r="A76" s="90"/>
      <c r="B76" s="78" t="s">
        <v>152</v>
      </c>
      <c r="C76" s="79"/>
      <c r="D76" s="205">
        <f>_GoBack+G76+I76</f>
        <v>52739344.227144405</v>
      </c>
      <c r="E76" s="183">
        <f>29986941.0195247+34132.35</f>
        <v>30021073.369524702</v>
      </c>
      <c r="F76" s="183">
        <v>58.046597595021176</v>
      </c>
      <c r="G76" s="183">
        <f>16214423.304+698726.62</f>
        <v>16913149.924</v>
      </c>
      <c r="H76" s="183">
        <v>39.19</v>
      </c>
      <c r="I76" s="183">
        <f>4210244.03361971+549.51+1594327.39</f>
        <v>5805120.93361971</v>
      </c>
      <c r="J76" s="183">
        <f>53.6937602638157+20.33</f>
        <v>74.02376026381569</v>
      </c>
    </row>
    <row r="77" spans="4:10" ht="15">
      <c r="D77" s="215">
        <f>_GoBack+G76+I76</f>
        <v>52739344.227144405</v>
      </c>
      <c r="E77" s="170"/>
      <c r="F77" s="170">
        <f>F76*12*43099.1</f>
        <v>30021073.372890923</v>
      </c>
      <c r="G77" s="170"/>
      <c r="H77" s="170">
        <f>H76*35964*12</f>
        <v>16913149.919999998</v>
      </c>
      <c r="I77" s="170"/>
      <c r="J77" s="170">
        <f>J76*6535.2*12</f>
        <v>5805120.936913059</v>
      </c>
    </row>
    <row r="78" spans="1:10" ht="15">
      <c r="A78" s="244"/>
      <c r="B78" s="244"/>
      <c r="C78" s="244"/>
      <c r="D78" s="244"/>
      <c r="E78" s="244"/>
      <c r="F78" s="244"/>
      <c r="G78" s="244"/>
      <c r="H78" s="244"/>
      <c r="I78" s="244"/>
      <c r="J78" s="244"/>
    </row>
    <row r="79" spans="1:10" ht="15">
      <c r="A79" s="48"/>
      <c r="D79" s="215" t="s">
        <v>208</v>
      </c>
      <c r="E79" s="170"/>
      <c r="F79" s="228">
        <f>F76-F75</f>
        <v>54.48659759502117</v>
      </c>
      <c r="G79" s="228"/>
      <c r="H79" s="228">
        <f>H76-H75</f>
        <v>35.629999999999995</v>
      </c>
      <c r="I79" s="228"/>
      <c r="J79" s="228">
        <f>J76-J75</f>
        <v>70.46376026381569</v>
      </c>
    </row>
    <row r="80" spans="4:10" ht="15">
      <c r="D80" s="214" t="s">
        <v>207</v>
      </c>
      <c r="E80" s="170"/>
      <c r="F80" s="226">
        <f>F79-F60</f>
        <v>51.83847507042089</v>
      </c>
      <c r="G80" s="226"/>
      <c r="H80" s="226">
        <f>G76-H77</f>
        <v>0.0040000006556510925</v>
      </c>
      <c r="I80" s="226"/>
      <c r="J80" s="227">
        <f>J79-J60</f>
        <v>50.13376026381569</v>
      </c>
    </row>
    <row r="81" ht="15">
      <c r="J81" s="170"/>
    </row>
    <row r="82" spans="3:10" ht="15">
      <c r="C82" s="170"/>
      <c r="D82" s="215"/>
      <c r="J82" s="170"/>
    </row>
    <row r="83" spans="5:10" ht="15">
      <c r="E83" s="170"/>
      <c r="F83" s="170"/>
      <c r="G83" s="170"/>
      <c r="H83" s="170"/>
      <c r="I83" s="170"/>
      <c r="J83" s="170"/>
    </row>
    <row r="85" spans="5:9" ht="15">
      <c r="E85" s="170"/>
      <c r="F85" s="170"/>
      <c r="G85" s="170"/>
      <c r="H85" s="170"/>
      <c r="I85" s="170"/>
    </row>
  </sheetData>
  <sheetProtection/>
  <mergeCells count="26">
    <mergeCell ref="F42:F45"/>
    <mergeCell ref="I42:I45"/>
    <mergeCell ref="H54:H57"/>
    <mergeCell ref="G54:G57"/>
    <mergeCell ref="G50:G52"/>
    <mergeCell ref="H42:H45"/>
    <mergeCell ref="A2:J2"/>
    <mergeCell ref="A3:J3"/>
    <mergeCell ref="E54:E57"/>
    <mergeCell ref="J54:J57"/>
    <mergeCell ref="E50:E52"/>
    <mergeCell ref="G42:G45"/>
    <mergeCell ref="I50:I52"/>
    <mergeCell ref="F50:F52"/>
    <mergeCell ref="F54:F57"/>
    <mergeCell ref="I54:I57"/>
    <mergeCell ref="I1:J1"/>
    <mergeCell ref="J50:J52"/>
    <mergeCell ref="A78:J78"/>
    <mergeCell ref="A42:A45"/>
    <mergeCell ref="C42:C45"/>
    <mergeCell ref="E42:E45"/>
    <mergeCell ref="J42:J45"/>
    <mergeCell ref="D42:D45"/>
    <mergeCell ref="D50:D52"/>
    <mergeCell ref="D54:D57"/>
  </mergeCells>
  <printOptions/>
  <pageMargins left="0" right="0" top="0" bottom="0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2021-11-08T12:00:36Z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